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:\Dane\Urszula 2021\E.4431.2021 Wspieranie szkół niepubl w 2021\E.4431.15.2021 Inna korespondencja w spr przekazywanie dotacji  w 2021\E.4431.15.2.2021 Określenie PKD na 2021 po I-szej aktualizacji marzec 2021\"/>
    </mc:Choice>
  </mc:AlternateContent>
  <xr:revisionPtr revIDLastSave="0" documentId="13_ncr:1_{2977578C-612D-447C-A976-EC7710E2BD3D}" xr6:coauthVersionLast="46" xr6:coauthVersionMax="46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PKD na 2021 p-la" sheetId="3" r:id="rId1"/>
    <sheet name="PlanWydatki na 28.02.2021" sheetId="10" r:id="rId2"/>
    <sheet name="PanWydatki na 21.10.2020" sheetId="1" r:id="rId3"/>
    <sheet name="1-wariant niepełnospr" sheetId="9" r:id="rId4"/>
    <sheet name="Niepelnosprawność" sheetId="5" r:id="rId5"/>
    <sheet name="I-aktualizacja PKD na 2021" sheetId="6" r:id="rId6"/>
  </sheets>
  <calcPr calcId="181029"/>
</workbook>
</file>

<file path=xl/calcChain.xml><?xml version="1.0" encoding="utf-8"?>
<calcChain xmlns="http://schemas.openxmlformats.org/spreadsheetml/2006/main">
  <c r="F32" i="6" l="1"/>
  <c r="F31" i="6"/>
  <c r="G31" i="6" s="1"/>
  <c r="F30" i="6"/>
  <c r="E28" i="6"/>
  <c r="D28" i="6"/>
  <c r="C16" i="3"/>
  <c r="Y8" i="9"/>
  <c r="V8" i="9"/>
  <c r="U19" i="9"/>
  <c r="S21" i="9"/>
  <c r="S8" i="9"/>
  <c r="P8" i="9"/>
  <c r="M8" i="9"/>
  <c r="J8" i="9"/>
  <c r="D21" i="9"/>
  <c r="G8" i="9"/>
  <c r="D8" i="9"/>
  <c r="Q16" i="10"/>
  <c r="S16" i="10" s="1"/>
  <c r="S15" i="10"/>
  <c r="D26" i="10"/>
  <c r="C26" i="10"/>
  <c r="C25" i="10"/>
  <c r="L14" i="10"/>
  <c r="C10" i="9"/>
  <c r="R8" i="5"/>
  <c r="R7" i="5"/>
  <c r="R6" i="5"/>
  <c r="R5" i="5"/>
  <c r="Q5" i="5"/>
  <c r="R4" i="5"/>
  <c r="Q4" i="5"/>
  <c r="R3" i="5"/>
  <c r="Q3" i="5"/>
  <c r="G3" i="5"/>
  <c r="C24" i="10"/>
  <c r="C23" i="10"/>
  <c r="J24" i="6"/>
  <c r="J20" i="6"/>
  <c r="J21" i="6"/>
  <c r="J23" i="6"/>
  <c r="J13" i="6"/>
  <c r="I21" i="6"/>
  <c r="H21" i="6"/>
  <c r="G21" i="6"/>
  <c r="F21" i="6"/>
  <c r="D21" i="6"/>
  <c r="B21" i="6"/>
  <c r="C20" i="6"/>
  <c r="C14" i="6"/>
  <c r="C15" i="6"/>
  <c r="C16" i="6"/>
  <c r="C17" i="6"/>
  <c r="C18" i="6"/>
  <c r="C19" i="6"/>
  <c r="C13" i="6"/>
  <c r="O14" i="6"/>
  <c r="O15" i="6"/>
  <c r="O16" i="6"/>
  <c r="O17" i="6"/>
  <c r="O18" i="6"/>
  <c r="O19" i="6"/>
  <c r="O13" i="6"/>
  <c r="N20" i="6"/>
  <c r="M20" i="6"/>
  <c r="H20" i="6"/>
  <c r="I20" i="6"/>
  <c r="D20" i="6"/>
  <c r="E20" i="6"/>
  <c r="F20" i="6"/>
  <c r="G20" i="6"/>
  <c r="O20" i="6" l="1"/>
  <c r="F8" i="6" l="1"/>
  <c r="G8" i="6"/>
  <c r="H8" i="6"/>
  <c r="I8" i="6"/>
  <c r="E8" i="6"/>
  <c r="I4" i="6"/>
  <c r="H4" i="6"/>
  <c r="G4" i="6"/>
  <c r="F4" i="6"/>
  <c r="E4" i="6"/>
  <c r="D4" i="6"/>
  <c r="G32" i="6"/>
  <c r="E32" i="6"/>
  <c r="E13" i="5"/>
  <c r="H13" i="5"/>
  <c r="H11" i="5"/>
  <c r="E11" i="5" s="1"/>
  <c r="D13" i="5"/>
  <c r="Q8" i="5"/>
  <c r="E4" i="5"/>
  <c r="E5" i="5"/>
  <c r="E6" i="5"/>
  <c r="E7" i="5"/>
  <c r="E8" i="5"/>
  <c r="E3" i="5"/>
  <c r="D9" i="5"/>
  <c r="G30" i="6"/>
  <c r="E31" i="6"/>
  <c r="E30" i="6"/>
  <c r="K14" i="6"/>
  <c r="K15" i="6"/>
  <c r="K16" i="6"/>
  <c r="K17" i="6"/>
  <c r="K18" i="6"/>
  <c r="K19" i="6"/>
  <c r="K13" i="6"/>
  <c r="K20" i="6"/>
  <c r="D24" i="10"/>
  <c r="R10" i="10"/>
  <c r="R11" i="10"/>
  <c r="R8" i="10"/>
  <c r="R9" i="10"/>
  <c r="R7" i="10"/>
  <c r="R5" i="10"/>
  <c r="M13" i="10"/>
  <c r="AC9" i="9"/>
  <c r="AC11" i="9" s="1"/>
  <c r="W20" i="3"/>
  <c r="V20" i="3"/>
  <c r="U20" i="3"/>
  <c r="U16" i="3"/>
  <c r="W11" i="3"/>
  <c r="W17" i="3" s="1"/>
  <c r="V11" i="3"/>
  <c r="V17" i="3" s="1"/>
  <c r="U11" i="3"/>
  <c r="U17" i="3" s="1"/>
  <c r="U22" i="3" s="1"/>
  <c r="S13" i="1"/>
  <c r="C26" i="1"/>
  <c r="L18" i="1"/>
  <c r="L11" i="1"/>
  <c r="C28" i="1"/>
  <c r="D28" i="1" s="1"/>
  <c r="D26" i="1"/>
  <c r="C25" i="1"/>
  <c r="C27" i="1" s="1"/>
  <c r="D27" i="1" s="1"/>
  <c r="C20" i="1"/>
  <c r="T17" i="1"/>
  <c r="T16" i="1"/>
  <c r="L14" i="1"/>
  <c r="AC13" i="1"/>
  <c r="AB13" i="1"/>
  <c r="AA13" i="1"/>
  <c r="Z13" i="1"/>
  <c r="P13" i="1"/>
  <c r="O13" i="1"/>
  <c r="N13" i="1"/>
  <c r="R13" i="1" s="1"/>
  <c r="M13" i="1"/>
  <c r="Q13" i="1" s="1"/>
  <c r="Q14" i="1" s="1"/>
  <c r="K13" i="1"/>
  <c r="J13" i="1"/>
  <c r="I13" i="1"/>
  <c r="H13" i="1"/>
  <c r="G13" i="1"/>
  <c r="F13" i="1"/>
  <c r="E13" i="1"/>
  <c r="D13" i="1"/>
  <c r="C13" i="1"/>
  <c r="U12" i="1"/>
  <c r="T12" i="1"/>
  <c r="R12" i="1"/>
  <c r="R11" i="1"/>
  <c r="Q11" i="1"/>
  <c r="R10" i="1"/>
  <c r="Q10" i="1"/>
  <c r="L10" i="1"/>
  <c r="R9" i="1"/>
  <c r="Q9" i="1"/>
  <c r="L9" i="1"/>
  <c r="R8" i="1"/>
  <c r="Q8" i="1"/>
  <c r="L8" i="1"/>
  <c r="R7" i="1"/>
  <c r="Q7" i="1"/>
  <c r="L7" i="1"/>
  <c r="R6" i="1"/>
  <c r="Q6" i="1"/>
  <c r="L6" i="1"/>
  <c r="R5" i="1"/>
  <c r="Q5" i="1"/>
  <c r="Q12" i="1" s="1"/>
  <c r="L5" i="1"/>
  <c r="L21" i="1" s="1"/>
  <c r="U18" i="9"/>
  <c r="U16" i="9"/>
  <c r="U15" i="9"/>
  <c r="U14" i="9"/>
  <c r="U13" i="9"/>
  <c r="U12" i="9"/>
  <c r="U11" i="9"/>
  <c r="U10" i="9"/>
  <c r="V9" i="9"/>
  <c r="V17" i="9" s="1"/>
  <c r="V20" i="9" s="1"/>
  <c r="U8" i="9"/>
  <c r="U7" i="9"/>
  <c r="U6" i="9"/>
  <c r="R19" i="9"/>
  <c r="R18" i="9"/>
  <c r="R16" i="9"/>
  <c r="R15" i="9"/>
  <c r="R14" i="9"/>
  <c r="R13" i="9"/>
  <c r="R12" i="9"/>
  <c r="R11" i="9"/>
  <c r="R10" i="9"/>
  <c r="S9" i="9"/>
  <c r="S17" i="9" s="1"/>
  <c r="S20" i="9" s="1"/>
  <c r="R8" i="9"/>
  <c r="R7" i="9"/>
  <c r="R6" i="9"/>
  <c r="R9" i="9" s="1"/>
  <c r="R17" i="9" s="1"/>
  <c r="R20" i="9" s="1"/>
  <c r="S7" i="5"/>
  <c r="I5" i="6"/>
  <c r="J9" i="9"/>
  <c r="J17" i="9" l="1"/>
  <c r="U9" i="9"/>
  <c r="U17" i="9" s="1"/>
  <c r="U20" i="9" s="1"/>
  <c r="V21" i="9" s="1"/>
  <c r="V22" i="3"/>
  <c r="U24" i="3"/>
  <c r="V24" i="3" s="1"/>
  <c r="U23" i="3"/>
  <c r="V23" i="3" s="1"/>
  <c r="L12" i="1"/>
  <c r="L13" i="1" s="1"/>
  <c r="Z17" i="9" l="1"/>
  <c r="S5" i="1"/>
  <c r="Q16" i="1" l="1"/>
  <c r="S16" i="1" s="1"/>
  <c r="Q17" i="1"/>
  <c r="S17" i="1" s="1"/>
  <c r="S15" i="1"/>
  <c r="E20" i="9" l="1"/>
  <c r="G9" i="9"/>
  <c r="J20" i="9"/>
  <c r="M9" i="9"/>
  <c r="M17" i="9" s="1"/>
  <c r="M20" i="9" s="1"/>
  <c r="P9" i="9"/>
  <c r="P17" i="9" s="1"/>
  <c r="P20" i="9" s="1"/>
  <c r="Y9" i="9"/>
  <c r="Y17" i="9" s="1"/>
  <c r="Y20" i="9" s="1"/>
  <c r="C6" i="9"/>
  <c r="G17" i="9" l="1"/>
  <c r="G20" i="9" s="1"/>
  <c r="Q20" i="3"/>
  <c r="P20" i="3"/>
  <c r="O20" i="3"/>
  <c r="O16" i="3"/>
  <c r="Q11" i="3"/>
  <c r="Q17" i="3" s="1"/>
  <c r="P11" i="3"/>
  <c r="P17" i="3" s="1"/>
  <c r="O11" i="3"/>
  <c r="O17" i="3" s="1"/>
  <c r="O22" i="3" s="1"/>
  <c r="O23" i="3" s="1"/>
  <c r="R6" i="10"/>
  <c r="R12" i="10"/>
  <c r="C20" i="10"/>
  <c r="C16" i="5"/>
  <c r="E12" i="5"/>
  <c r="O10" i="5"/>
  <c r="N10" i="5"/>
  <c r="M10" i="5"/>
  <c r="L10" i="5"/>
  <c r="K10" i="5"/>
  <c r="J10" i="5"/>
  <c r="I10" i="5"/>
  <c r="F10" i="5"/>
  <c r="D10" i="5"/>
  <c r="O9" i="5"/>
  <c r="N9" i="5"/>
  <c r="M9" i="5"/>
  <c r="L9" i="5"/>
  <c r="K9" i="5"/>
  <c r="J9" i="5"/>
  <c r="I9" i="5"/>
  <c r="F9" i="5"/>
  <c r="S8" i="5"/>
  <c r="H8" i="5"/>
  <c r="G8" i="5"/>
  <c r="Q7" i="5"/>
  <c r="H7" i="5"/>
  <c r="G7" i="5"/>
  <c r="S6" i="5"/>
  <c r="Q6" i="5"/>
  <c r="H6" i="5"/>
  <c r="H10" i="5" s="1"/>
  <c r="G6" i="5"/>
  <c r="G10" i="5" s="1"/>
  <c r="E10" i="5"/>
  <c r="S5" i="5"/>
  <c r="H5" i="5"/>
  <c r="H9" i="5" s="1"/>
  <c r="G5" i="5"/>
  <c r="E9" i="5"/>
  <c r="S4" i="5"/>
  <c r="H4" i="5"/>
  <c r="G4" i="5"/>
  <c r="S3" i="5"/>
  <c r="H3" i="5"/>
  <c r="G9" i="5" l="1"/>
  <c r="G11" i="5" s="1"/>
  <c r="C28" i="10"/>
  <c r="D28" i="10" s="1"/>
  <c r="C27" i="10"/>
  <c r="D27" i="10" s="1"/>
  <c r="P22" i="3"/>
  <c r="O24" i="3"/>
  <c r="P24" i="3" s="1"/>
  <c r="P23" i="3"/>
  <c r="Q12" i="10"/>
  <c r="O13" i="10"/>
  <c r="Q13" i="10" s="1"/>
  <c r="L5" i="10" l="1"/>
  <c r="L21" i="10" l="1"/>
  <c r="I16" i="3"/>
  <c r="K20" i="3"/>
  <c r="J20" i="3"/>
  <c r="I20" i="3"/>
  <c r="K11" i="3"/>
  <c r="K17" i="3" s="1"/>
  <c r="J11" i="3"/>
  <c r="J17" i="3" s="1"/>
  <c r="I11" i="3"/>
  <c r="I17" i="3" l="1"/>
  <c r="I22" i="3" s="1"/>
  <c r="J22" i="3" s="1"/>
  <c r="L6" i="10"/>
  <c r="L7" i="10"/>
  <c r="L8" i="10"/>
  <c r="L9" i="10"/>
  <c r="L10" i="10"/>
  <c r="L11" i="10"/>
  <c r="I24" i="3" l="1"/>
  <c r="J24" i="3" s="1"/>
  <c r="L12" i="10"/>
  <c r="L13" i="10" s="1"/>
  <c r="I23" i="3"/>
  <c r="J23" i="3" s="1"/>
  <c r="B20" i="6" l="1"/>
  <c r="C13" i="10" l="1"/>
  <c r="D5" i="6"/>
  <c r="D6" i="6" l="1"/>
  <c r="D7" i="6" s="1"/>
  <c r="C11" i="3"/>
  <c r="E20" i="3"/>
  <c r="D20" i="3"/>
  <c r="C20" i="3"/>
  <c r="E11" i="3"/>
  <c r="E17" i="3" s="1"/>
  <c r="D11" i="3"/>
  <c r="D17" i="3" s="1"/>
  <c r="X11" i="9"/>
  <c r="X12" i="9"/>
  <c r="X13" i="9"/>
  <c r="X14" i="9"/>
  <c r="X15" i="9"/>
  <c r="X16" i="9"/>
  <c r="X19" i="9"/>
  <c r="X18" i="9"/>
  <c r="X10" i="9"/>
  <c r="O11" i="9"/>
  <c r="O12" i="9"/>
  <c r="O13" i="9"/>
  <c r="O14" i="9"/>
  <c r="O15" i="9"/>
  <c r="O16" i="9"/>
  <c r="O19" i="9"/>
  <c r="O18" i="9"/>
  <c r="O10" i="9"/>
  <c r="L11" i="9"/>
  <c r="L12" i="9"/>
  <c r="L13" i="9"/>
  <c r="L14" i="9"/>
  <c r="L15" i="9"/>
  <c r="L16" i="9"/>
  <c r="L19" i="9"/>
  <c r="L18" i="9"/>
  <c r="L10" i="9"/>
  <c r="I19" i="9"/>
  <c r="I18" i="9"/>
  <c r="I11" i="9"/>
  <c r="I12" i="9"/>
  <c r="I13" i="9"/>
  <c r="I14" i="9"/>
  <c r="I15" i="9"/>
  <c r="I16" i="9"/>
  <c r="I10" i="9"/>
  <c r="F19" i="9"/>
  <c r="F11" i="9"/>
  <c r="F12" i="9"/>
  <c r="F13" i="9"/>
  <c r="F14" i="9"/>
  <c r="F15" i="9"/>
  <c r="F16" i="9"/>
  <c r="F18" i="9"/>
  <c r="F10" i="9"/>
  <c r="C19" i="9"/>
  <c r="C18" i="9"/>
  <c r="C11" i="9"/>
  <c r="C12" i="9"/>
  <c r="C13" i="9"/>
  <c r="C14" i="9"/>
  <c r="C15" i="9"/>
  <c r="C16" i="9"/>
  <c r="X7" i="9"/>
  <c r="X8" i="9"/>
  <c r="O7" i="9"/>
  <c r="O8" i="9"/>
  <c r="L7" i="9"/>
  <c r="L8" i="9"/>
  <c r="I7" i="9"/>
  <c r="I8" i="9"/>
  <c r="F7" i="9"/>
  <c r="F8" i="9"/>
  <c r="C7" i="9"/>
  <c r="C8" i="9"/>
  <c r="D13" i="10"/>
  <c r="E13" i="10"/>
  <c r="F13" i="10"/>
  <c r="G13" i="10"/>
  <c r="H13" i="10"/>
  <c r="I13" i="10"/>
  <c r="J13" i="10"/>
  <c r="K13" i="10"/>
  <c r="N13" i="10"/>
  <c r="T12" i="10"/>
  <c r="C22" i="3" l="1"/>
  <c r="C17" i="3"/>
  <c r="H5" i="6"/>
  <c r="F5" i="6"/>
  <c r="E5" i="6"/>
  <c r="G5" i="6"/>
  <c r="D22" i="3" l="1"/>
  <c r="C23" i="3"/>
  <c r="D23" i="3" s="1"/>
  <c r="C24" i="3"/>
  <c r="D24" i="3" s="1"/>
  <c r="J19" i="6"/>
  <c r="J15" i="6"/>
  <c r="J16" i="6"/>
  <c r="J18" i="6"/>
  <c r="J14" i="6"/>
  <c r="J17" i="6"/>
  <c r="P13" i="10" l="1"/>
  <c r="R13" i="10" s="1"/>
  <c r="Q14" i="10" s="1"/>
  <c r="X6" i="9"/>
  <c r="X9" i="9" s="1"/>
  <c r="X17" i="9" s="1"/>
  <c r="X20" i="9" s="1"/>
  <c r="Y21" i="9" s="1"/>
  <c r="F6" i="9"/>
  <c r="F9" i="9" s="1"/>
  <c r="F17" i="9" s="1"/>
  <c r="F20" i="9" s="1"/>
  <c r="G21" i="9" s="1"/>
  <c r="K26" i="9"/>
  <c r="A24" i="9"/>
  <c r="N24" i="9"/>
  <c r="L6" i="9"/>
  <c r="L9" i="9" s="1"/>
  <c r="L17" i="9" s="1"/>
  <c r="L20" i="9" s="1"/>
  <c r="M21" i="9" s="1"/>
  <c r="O6" i="9"/>
  <c r="O9" i="9" s="1"/>
  <c r="O17" i="9" s="1"/>
  <c r="O20" i="9" s="1"/>
  <c r="P21" i="9" s="1"/>
  <c r="I6" i="9"/>
  <c r="I9" i="9" s="1"/>
  <c r="I17" i="9" s="1"/>
  <c r="I20" i="9" s="1"/>
  <c r="J21" i="9" s="1"/>
  <c r="Z12" i="9"/>
  <c r="Z14" i="9" s="1"/>
  <c r="S5" i="10" l="1"/>
  <c r="S13" i="10"/>
  <c r="C9" i="9"/>
  <c r="C17" i="9" s="1"/>
  <c r="C20" i="9" s="1"/>
  <c r="Z13" i="9"/>
  <c r="Q17" i="10" l="1"/>
  <c r="S17" i="10" s="1"/>
  <c r="Z19" i="9" l="1"/>
  <c r="Z18" i="9"/>
  <c r="F6" i="6" l="1"/>
  <c r="F7" i="6" s="1"/>
  <c r="E6" i="6"/>
  <c r="E7" i="6" s="1"/>
  <c r="G6" i="6"/>
  <c r="G7" i="6" s="1"/>
  <c r="H6" i="6"/>
  <c r="H7" i="6" s="1"/>
  <c r="I6" i="6" l="1"/>
  <c r="I7" i="6" s="1"/>
  <c r="D9" i="9" l="1"/>
  <c r="D17" i="9" s="1"/>
  <c r="D20" i="9" s="1"/>
</calcChain>
</file>

<file path=xl/sharedStrings.xml><?xml version="1.0" encoding="utf-8"?>
<sst xmlns="http://schemas.openxmlformats.org/spreadsheetml/2006/main" count="345" uniqueCount="211">
  <si>
    <t>Styczeń</t>
  </si>
  <si>
    <t>Luty</t>
  </si>
  <si>
    <t>Kwiecień</t>
  </si>
  <si>
    <t>Maj</t>
  </si>
  <si>
    <t>Lipiec</t>
  </si>
  <si>
    <t>Sierpień</t>
  </si>
  <si>
    <t>Wrzesień</t>
  </si>
  <si>
    <t>Październik</t>
  </si>
  <si>
    <t>Listopad</t>
  </si>
  <si>
    <t>Grudzień</t>
  </si>
  <si>
    <t>Dotacja wypłacona w roku</t>
  </si>
  <si>
    <t>Rozdział</t>
  </si>
  <si>
    <t>Razem wydatki</t>
  </si>
  <si>
    <t>sub. na npłsp. przedsz.</t>
  </si>
  <si>
    <t>dochody za WP i żywienie</t>
  </si>
  <si>
    <t>wczesne wsp</t>
  </si>
  <si>
    <t>Podsuma (potrącenia)</t>
  </si>
  <si>
    <t>Wydatki do dotacji</t>
  </si>
  <si>
    <t>Statyst. Liczba uczniów</t>
  </si>
  <si>
    <t>statyst. L. uczniów npłsp.</t>
  </si>
  <si>
    <t>Liczba uczniów do dotacji</t>
  </si>
  <si>
    <t>maxymalna transza na listopad i grudzień = 150%W -&gt; transza za m-c listopad i grudzień jest mniejsza od tej kwoty czyli wszystko ok</t>
  </si>
  <si>
    <t xml:space="preserve">Wypłacono za I-X </t>
  </si>
  <si>
    <t>Czerwiec</t>
  </si>
  <si>
    <t>Przedszkola publiczne</t>
  </si>
  <si>
    <t>P-la</t>
  </si>
  <si>
    <t>W = średniej arytmetycznej wpłaconej kwoty czyli I17/10</t>
  </si>
  <si>
    <t>W = średniej arytmetycznej wpłaconej kwoty czyli D17/10</t>
  </si>
  <si>
    <t>minimalna</t>
  </si>
  <si>
    <t>Lp.</t>
  </si>
  <si>
    <t>Placówka</t>
  </si>
  <si>
    <t>Kwota przyjęta do rozliczenia</t>
  </si>
  <si>
    <t>Średni roczny koszt utrzymania 1 ucznia przyjęty do rozliczenia (suma kol. 9/suma kol.10)</t>
  </si>
  <si>
    <t>rozdział       80146</t>
  </si>
  <si>
    <t>rozdział         80149</t>
  </si>
  <si>
    <t>rozdział         80195</t>
  </si>
  <si>
    <t>rozdział         75085</t>
  </si>
  <si>
    <t>Miejskie Przedszkole "Perełka"</t>
  </si>
  <si>
    <t>Miejskie Przedszkole "Niezapominajka"</t>
  </si>
  <si>
    <t>Miejskie Przedszkole i Żłobek "Ekoludki"</t>
  </si>
  <si>
    <t>Miejskie Przedszkole "Bajka"</t>
  </si>
  <si>
    <t>Miejskie Przedszkole "Światełko"</t>
  </si>
  <si>
    <t>Miejskie Przedszkole "Mali Odkrywcy"</t>
  </si>
  <si>
    <t>Miejskie Przedszkole "Słoneczna Ósemka"</t>
  </si>
  <si>
    <t xml:space="preserve">    Ogółem</t>
  </si>
  <si>
    <t>Typ i rodzaj placówki</t>
  </si>
  <si>
    <t>PRZEDSZKOLA ORAZ INNE FORMY WYCHOWANIA PRZEDSZKOLNEGO</t>
  </si>
  <si>
    <t>x</t>
  </si>
  <si>
    <t>PLN niepełnospr + WWR</t>
  </si>
  <si>
    <t>Razem l. dz. niepen.</t>
  </si>
  <si>
    <t>P8</t>
  </si>
  <si>
    <t>P7</t>
  </si>
  <si>
    <t>P6</t>
  </si>
  <si>
    <t>P5</t>
  </si>
  <si>
    <t>P4</t>
  </si>
  <si>
    <t>P3</t>
  </si>
  <si>
    <t>P2</t>
  </si>
  <si>
    <t>l.dz. niepełnospr</t>
  </si>
  <si>
    <t>Aktualizacja                                                                                                                                                statystycznej liczby wychowanków publicznych przedszkolach wg SIO na 30 IX 2017</t>
  </si>
  <si>
    <t>l.dz. bez niepełnospr</t>
  </si>
  <si>
    <t>max. transza na listopad i grudzień = 150%W -&gt; transza za m-ce XI i XII jest większa od tej kwoty czyli NOK</t>
  </si>
  <si>
    <t>m-czna</t>
  </si>
  <si>
    <t>Przedszkole</t>
  </si>
  <si>
    <t>P65</t>
  </si>
  <si>
    <t>W zaokr. dotacja m-czna na/1 ucznia niepeł. do wypłaty przedszkolom</t>
  </si>
  <si>
    <t>Perełka</t>
  </si>
  <si>
    <t>Niezapominajka</t>
  </si>
  <si>
    <t>MP Ekoludki</t>
  </si>
  <si>
    <t>MP Bajka</t>
  </si>
  <si>
    <t>MP Światełko</t>
  </si>
  <si>
    <t>MP Mali Odkrywcy</t>
  </si>
  <si>
    <t>Słoneczna Ósemka</t>
  </si>
  <si>
    <t>L dzieci razem</t>
  </si>
  <si>
    <t>Urszula Dobrowolska</t>
  </si>
  <si>
    <t xml:space="preserve"> WWR</t>
  </si>
  <si>
    <t>Satyst. liczba dzieci  publ. -p-lach</t>
  </si>
  <si>
    <t>wpływy od rodziców</t>
  </si>
  <si>
    <t>rozdział        80104</t>
  </si>
  <si>
    <t>za pobyt</t>
  </si>
  <si>
    <t>liczba uczniów niepeł- nosprawnych</t>
  </si>
  <si>
    <t>rocznie kszt specj + WWR</t>
  </si>
  <si>
    <t>r-czna</t>
  </si>
  <si>
    <t xml:space="preserve">30.09.2019 </t>
  </si>
  <si>
    <t xml:space="preserve">wyd. bież. finans. z udziałem śr. poch. z UE </t>
  </si>
  <si>
    <t>Podstawowa kwota dotacji 75%</t>
  </si>
  <si>
    <t>Podstawowa kwota dotacji 40%</t>
  </si>
  <si>
    <t xml:space="preserve">pomniejszyć o wydatki inwestycyjne  </t>
  </si>
  <si>
    <t>plan</t>
  </si>
  <si>
    <t>kwota do PKD</t>
  </si>
  <si>
    <t>rozdział 80104</t>
  </si>
  <si>
    <t>Marzec</t>
  </si>
  <si>
    <t>WWR</t>
  </si>
  <si>
    <t>WWR 30.09.2019</t>
  </si>
  <si>
    <t>Wypłacono za I-III</t>
  </si>
  <si>
    <t>waga</t>
  </si>
  <si>
    <t>Np.</t>
  </si>
  <si>
    <t>P51</t>
  </si>
  <si>
    <t>P52</t>
  </si>
  <si>
    <t xml:space="preserve">P51 = 0,75 Dzieci w wieku 6 lat i starsze w przedszkolach (waga nie obejmuje dzieci objętych nauczaniem domowym waga P66) </t>
  </si>
  <si>
    <t xml:space="preserve">P52 = 0,66 Dzieci, które w wieku 6 lat i starsze, w oddziałach przedszkolnych w szkołach podstawowych i innych formach wychowania przedszkolnego (waga nie obejmuje dzieci objętych nauczaniem domowym waga P66) </t>
  </si>
  <si>
    <t>P63</t>
  </si>
  <si>
    <t>P65 = 0,84 Dzieci objęte wczesnym wspomaganiem rozwoju we wszystkich szkołach i placówkach wypełniających informacje o wczesnym wspomaganiu rozwoju</t>
  </si>
  <si>
    <t>P68</t>
  </si>
  <si>
    <t>dotacja m-czna/1 ucznia niepeł.</t>
  </si>
  <si>
    <t>Stołówki szkolne rozdział         80148</t>
  </si>
  <si>
    <t>WWR rozdział         85404</t>
  </si>
  <si>
    <t>zakup usług remontowych</t>
  </si>
  <si>
    <t>za wyżywienie paragraf 4220</t>
  </si>
  <si>
    <t>Liczba uczniów w placówkach według SIO na 30.09.2019</t>
  </si>
  <si>
    <t>sprawdzenie</t>
  </si>
  <si>
    <t>Kszt. Specj</t>
  </si>
  <si>
    <t>30.09.2020</t>
  </si>
  <si>
    <t>Do wypłaty w 2020</t>
  </si>
  <si>
    <t>MIESIĘCZNA</t>
  </si>
  <si>
    <t xml:space="preserve">Podstawowa kwota dotacji </t>
  </si>
  <si>
    <t>Finas standard A</t>
  </si>
  <si>
    <t>korygujący wsk Di</t>
  </si>
  <si>
    <t>iloczyn: waga xstand A x koryg Di</t>
  </si>
  <si>
    <t xml:space="preserve">w tym kszt spec </t>
  </si>
  <si>
    <t>wg metryczki 2020</t>
  </si>
  <si>
    <t>Plan finansowy przedszkoli publicznych na 2020 rok wynikający z uchwalonego budżetu Miasta Ełku (stan na dzień 31.05.2020)</t>
  </si>
  <si>
    <t>kszt specj</t>
  </si>
  <si>
    <t>wydatki do PKD</t>
  </si>
  <si>
    <t>rocznie</t>
  </si>
  <si>
    <t>m-cznie</t>
  </si>
  <si>
    <t>Plan na 31.05.2020</t>
  </si>
  <si>
    <t xml:space="preserve">10.06.2020 sporządziła: Urszula Dobrowolska </t>
  </si>
  <si>
    <t>wykonanie</t>
  </si>
  <si>
    <t>orzeczenia do 31.08.2020</t>
  </si>
  <si>
    <t>orzeczenia od 01.09.2020</t>
  </si>
  <si>
    <t>WWR 30.09.2020</t>
  </si>
  <si>
    <t>liczba uczniów ustalona na podstawie  SIO wg stanu na 30.09.2020</t>
  </si>
  <si>
    <t>Statyst. liczba uczniów ogółem</t>
  </si>
  <si>
    <t>Statyst. liczba uczniów WWR</t>
  </si>
  <si>
    <t>Kwota wydatków na kształcenie specjalne</t>
  </si>
  <si>
    <t>Kwota wydatków na WWR</t>
  </si>
  <si>
    <t>Statyst. liczba uczniów bez orzeczeń</t>
  </si>
  <si>
    <t>różnica</t>
  </si>
  <si>
    <t xml:space="preserve">Statyst. liczba uczniów bez ucz. z orzeczeniami </t>
  </si>
  <si>
    <t xml:space="preserve">uczniowie statyst. SUMA =  </t>
  </si>
  <si>
    <t xml:space="preserve">niepełn. uczniowie statyst. SUMA =  </t>
  </si>
  <si>
    <t xml:space="preserve">75% </t>
  </si>
  <si>
    <t>40%</t>
  </si>
  <si>
    <t xml:space="preserve">100% </t>
  </si>
  <si>
    <t>stat l uczniów</t>
  </si>
  <si>
    <t>Statyst. liczba ucz  bez orzeczeń</t>
  </si>
  <si>
    <t>Kwota wydatków bez kszt spec i WWR</t>
  </si>
  <si>
    <t>100% PKD 2020</t>
  </si>
  <si>
    <t>40% PKD w 2020</t>
  </si>
  <si>
    <t>75% PKD w 2020</t>
  </si>
  <si>
    <t>Plan na 30.09.2020</t>
  </si>
  <si>
    <t xml:space="preserve">20.10.2020 sporządziła: Urszula Dobrowolska </t>
  </si>
  <si>
    <t>do wypłaty</t>
  </si>
  <si>
    <t>Kwota wydat bez kszt spec i WWR</t>
  </si>
  <si>
    <t>Kwota wydat na kształcenie specj</t>
  </si>
  <si>
    <t>Kwota wydatków bież na 30IX2020</t>
  </si>
  <si>
    <t xml:space="preserve">Stat. Licz. Ucz. bez uczniów z orzecz </t>
  </si>
  <si>
    <t>Plan na 21.10.2020</t>
  </si>
  <si>
    <t xml:space="preserve">21.10.2020 sporządziła: Urszula Dobrowolska </t>
  </si>
  <si>
    <t>nowa PKD</t>
  </si>
  <si>
    <t>Kwota wydatków bieżących na 12.01.2021</t>
  </si>
  <si>
    <r>
      <t xml:space="preserve">PLAN WYDATKÓW BIEŻĄCYCH W ROKU 2020- PRZEDSZKOLA PUBLICZNE </t>
    </r>
    <r>
      <rPr>
        <i/>
        <sz val="12"/>
        <color rgb="FFC00000"/>
        <rFont val="Calibri"/>
        <family val="2"/>
        <charset val="238"/>
        <scheme val="minor"/>
      </rPr>
      <t xml:space="preserve"> na 2020 (21.10.2020 po sesji)</t>
    </r>
  </si>
  <si>
    <t>Wydatki na kszt. specj. w publ. p-lach razem (PLN)+ 6-latki niepełn.</t>
  </si>
  <si>
    <t>liczba dzieci posiadających orzeczenia o kształceniu specj.</t>
  </si>
  <si>
    <t>PKD na 2021</t>
  </si>
  <si>
    <t xml:space="preserve">do wyr w XII 2021 </t>
  </si>
  <si>
    <t>Wydatki na uczniów niepełn + WWR w 2021</t>
  </si>
  <si>
    <t>Roczna PKD na jednego wychowanka wg subwencji  na 2021</t>
  </si>
  <si>
    <t>M-czna PKD na jednego wychowanka wg subwencji  na 2021</t>
  </si>
  <si>
    <t>100% PKD 2021</t>
  </si>
  <si>
    <t>75% PKD w 2021</t>
  </si>
  <si>
    <t>40% PKD w 2021</t>
  </si>
  <si>
    <t>Do wypłaty w 2021</t>
  </si>
  <si>
    <r>
      <rPr>
        <b/>
        <sz val="11"/>
        <color rgb="FFC00000"/>
        <rFont val="Calibri"/>
        <family val="2"/>
        <charset val="238"/>
        <scheme val="minor"/>
      </rPr>
      <t>Wyliczenie PKD na 2020</t>
    </r>
    <r>
      <rPr>
        <sz val="11"/>
        <color rgb="FFC00000"/>
        <rFont val="Calibri"/>
        <family val="2"/>
        <charset val="238"/>
        <scheme val="minor"/>
      </rPr>
      <t xml:space="preserve"> </t>
    </r>
    <r>
      <rPr>
        <sz val="10"/>
        <color rgb="FFC00000"/>
        <rFont val="Calibri"/>
        <family val="2"/>
        <charset val="238"/>
        <scheme val="minor"/>
      </rPr>
      <t>(na podstawie: planu wydatków z zatwierdzonego Budżetu na 2020 stan na 31.05.2020; statyst. liczba wych. wg SIO na 30.09.2019, Metrczyczki subw. Oświat 2020-   PKD obowiązuje od 01.07.2020)</t>
    </r>
  </si>
  <si>
    <r>
      <rPr>
        <b/>
        <sz val="11"/>
        <color rgb="FFC00000"/>
        <rFont val="Calibri"/>
        <family val="2"/>
        <charset val="238"/>
        <scheme val="minor"/>
      </rPr>
      <t>Wyliczenie PKD na 2020</t>
    </r>
    <r>
      <rPr>
        <sz val="11"/>
        <color rgb="FFC00000"/>
        <rFont val="Calibri"/>
        <family val="2"/>
        <charset val="238"/>
        <scheme val="minor"/>
      </rPr>
      <t xml:space="preserve"> </t>
    </r>
    <r>
      <rPr>
        <sz val="10"/>
        <color rgb="FFC00000"/>
        <rFont val="Calibri"/>
        <family val="2"/>
        <charset val="238"/>
        <scheme val="minor"/>
      </rPr>
      <t>(na podstawie: planu wydatków z zatwierdzonego Budżetu na 2020 stan na 30.09.2020; statyst. liczba wych. wg SIO na 30.09.2019 2020, Metrczyczki subw. Oświat 2020-   PKD obowiązuje od 01.11.2020)</t>
    </r>
  </si>
  <si>
    <r>
      <rPr>
        <b/>
        <sz val="11"/>
        <color rgb="FFC00000"/>
        <rFont val="Calibri"/>
        <family val="2"/>
        <charset val="238"/>
        <scheme val="minor"/>
      </rPr>
      <t>Wyliczenie PKD na 2020</t>
    </r>
    <r>
      <rPr>
        <sz val="11"/>
        <color rgb="FFC00000"/>
        <rFont val="Calibri"/>
        <family val="2"/>
        <charset val="238"/>
        <scheme val="minor"/>
      </rPr>
      <t xml:space="preserve"> </t>
    </r>
    <r>
      <rPr>
        <sz val="10"/>
        <color rgb="FFC00000"/>
        <rFont val="Calibri"/>
        <family val="2"/>
        <charset val="238"/>
        <scheme val="minor"/>
      </rPr>
      <t>(na podstawie: planu wydatków z zatwierdzonego Budżetu na 2020 stan na 21.10.2020; statyst. liczba wych. wg SIO na 30.09.2019 2020, Metrczyczki subw. Oświat 2020-   PKD obowiązuje od 01.11.2020)</t>
    </r>
  </si>
  <si>
    <t>Wagi wg danych subwencyjnych na 2021</t>
  </si>
  <si>
    <t>SIO na 30.09.2020</t>
  </si>
  <si>
    <t>Wartość wag wg danych subwencyjnych na 2021</t>
  </si>
  <si>
    <t>roczna kwota dotacji wg Metryczki subwencji oświatowej na 2021</t>
  </si>
  <si>
    <t>roczna kwota dotacji wg wag w 2021 (zaokr. do 0,00)</t>
  </si>
  <si>
    <t>Liczba dzieci niepełnosprawnych wg SIO 30 IX 2020</t>
  </si>
  <si>
    <t>63 = 9,500 Dzieci z oddziałów wychowania przedszkolnego (przypisane na dzień 30 IX 2020) w przedszkolach, innych fomach wych. przedszkolnego z niepełnosprawnościami sprzężonymi  i z autyzmem, w tym z zespołem Aspergera z orzeczeniem o potrzebie kształcenia specjalnego aktywnym na 30 IX 2020, którzy nie spełniają obowiązku wych. przedszkolnego w ORW.</t>
  </si>
  <si>
    <t>P67</t>
  </si>
  <si>
    <t>od 01.04.2021</t>
  </si>
  <si>
    <t>Wydatki bież. 28.02.2021</t>
  </si>
  <si>
    <t>2-5 lat</t>
  </si>
  <si>
    <t>6lat i &gt;</t>
  </si>
  <si>
    <t>w tym WWR 37 dzieci x 5063,88</t>
  </si>
  <si>
    <t>dn.16.03.2021</t>
  </si>
  <si>
    <t>Plan finansowy przedszkoli publicznych na 2021 rok wynikający z uchwalonego budżetu Miasta Ełku (stan na dzień 28.02.2021)</t>
  </si>
  <si>
    <r>
      <t xml:space="preserve">PLAN WYDATKÓW BIEŻĄCYCH W ROKU 2021- PRZEDSZKOLA PUBLICZNE </t>
    </r>
    <r>
      <rPr>
        <i/>
        <sz val="12"/>
        <rFont val="Calibri"/>
        <family val="2"/>
        <charset val="238"/>
        <scheme val="minor"/>
      </rPr>
      <t xml:space="preserve"> (SIO na 30.09.2020 i plan wyd. na 28.02.2021)</t>
    </r>
  </si>
  <si>
    <t>wg metryczki 2021</t>
  </si>
  <si>
    <t>Roczna PKD na jednego wychowanka (w oparciu o Mertryczkę subwencji oświatowej na 2021) ogłoszona</t>
  </si>
  <si>
    <r>
      <t xml:space="preserve">16.03.2021 Stat. l. uczniów przeliczenie styczeń 2021 </t>
    </r>
    <r>
      <rPr>
        <sz val="8"/>
        <color theme="0"/>
        <rFont val="Calibri"/>
        <family val="2"/>
        <charset val="238"/>
        <scheme val="minor"/>
      </rPr>
      <t xml:space="preserve"> :(2/3xE)+(1/3xH)</t>
    </r>
  </si>
  <si>
    <t xml:space="preserve">Statystyczna liczba uczniów w  publicznych przedszkolach wg SIO na  30 IX 2020 </t>
  </si>
  <si>
    <t>P67 = 2,900 Dzieci niewidome, słabowidzące, z niepełnosprawnością ruchową, w tym z afazją, z niepełnosprawnością intelektualną w stopniu lekkim,posiadający orzeczenie poradni psychologiczno-pedagogicznej o potrzebie kształcenia specjalnego w przedszkolach i innych formach wychowania przedszkolnego.</t>
  </si>
  <si>
    <t>P68 = 3,600 Dzieci niesłyszące, słabosłyszące, z niepełnosprawnością intelektualną w stopniu umiarkowanym lub znacznym, posiadający orzeczenie poradni psychologiczno-pedagogicznej o potrzebie kształcenia specjalnego w przedszkolach i innych formach wychowania przedszkolnego.</t>
  </si>
  <si>
    <t>WWR z SIO 30.09.2020</t>
  </si>
  <si>
    <t>Liczba uczniów w placówkach według SIO na 30.09.2020</t>
  </si>
  <si>
    <t>PKD - przedszkola                                                                                    (PKD 100% - 13 521,37 zł)</t>
  </si>
  <si>
    <t>PKD - inne formy wychowania przedszkolnego  (PKD 100% - 13 521,37zł)</t>
  </si>
  <si>
    <r>
      <t xml:space="preserve">Podstawowa kwota dotacji, dotacja uczniowie niepenosprawni i objęci WWR w 2021 po I-szej aktualizacji </t>
    </r>
    <r>
      <rPr>
        <sz val="12"/>
        <rFont val="Calibri"/>
        <family val="2"/>
        <charset val="238"/>
        <scheme val="minor"/>
      </rPr>
      <t>- obowiązująca od 01.04.2021</t>
    </r>
  </si>
  <si>
    <t>(wagi i waratości wag na 2021, Metryczka subwencji oświatowej na 2021 , SIO 30 IX 2020)</t>
  </si>
  <si>
    <t>Wypłacanie dotacji WWR i  niepełn na niepubliczne p-la i pp. w 2021</t>
  </si>
  <si>
    <r>
      <rPr>
        <b/>
        <sz val="11"/>
        <rFont val="Calibri"/>
        <family val="2"/>
        <charset val="238"/>
        <scheme val="minor"/>
      </rPr>
      <t>Wyliczenie PKD na 2021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(na podstawie: planu wydatków z zatwierdzonego Budżetu na 2021 stan na 28.02.2021; statyst. liczba wych. wg SIO na 30.09.2020, metrczyczka subw. Oświat 2021-   kwota obowiązuje od 01.04.2021)</t>
    </r>
  </si>
  <si>
    <t>Plan na 28.02.2020</t>
  </si>
  <si>
    <t xml:space="preserve">18.03.2021 sporządziła: Urszula Dobrowolska </t>
  </si>
  <si>
    <t>P67 = 2,900 Dzieci niewidome, słabowidzące, z niepełnosprawnością ruchową, w tym z afazją, z niepełnosprawnością intelektualną w stopniu lekkim,posiadający orzeczenie o potrzebie kształcenia specjalnego (z datą obowiązywania na 30 IX 2020)  w przedszkolach i innych formach wychowania przedszkolnego. Uczniowie przypisani do oddziału podstawowego "0" i "poniżej 0" na 30.09.2020</t>
  </si>
  <si>
    <t>P68 = 3,600 Dzieci niesłyszące, słabosłyszące, z niepełnosprawnością intelektualną w stopniu umiarkowanym lub znacznym, posiadający orzeczenie o potrzebie kształcenia specjalnego  (z datą obowiązywania na 30 IX 2020) w przedszkolach i innych formach wychowania przedszkolnego. Uczniowie przypisani do oddziału podstawowego "0" i "poniżej 0" na 30.09.2020</t>
  </si>
  <si>
    <t>P63 = 9,500 Dzieci z oddziałów wychowania przedszkolnego (przypisane na dzień 30 IX 2020) w przedszkolach, innych fomach wych. przedszkolnego z niepełnosprawnościami sprzężonymi  i z autyzmem, w tym z zespołem Aspergera z orzeczeniem o potrzebie kształcenia specjalnego aktywnym na 30 IX 2020, którzy nie spełniają obowiązku wych. przedszkolnego w ORW.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</si>
</sst>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0\ &quot;zł&quot;"/>
    <numFmt numFmtId="165" formatCode="0.000000"/>
    <numFmt numFmtId="166" formatCode="#,##0.00\ _z_ł"/>
    <numFmt numFmtId="167" formatCode="#,##0.0000"/>
    <numFmt numFmtId="168" formatCode="#,##0.00000\ &quot;zł&quot;"/>
    <numFmt numFmtId="169" formatCode="0.0000"/>
    <numFmt numFmtId="170" formatCode="#,##0.0000\ &quot;zł&quot;"/>
    <numFmt numFmtId="171" formatCode="#,##0.000"/>
    <numFmt numFmtId="172" formatCode="#,##0.0000000000"/>
  </numFmts>
  <fonts count="9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9"/>
      <color theme="3"/>
      <name val="Calibri"/>
      <family val="2"/>
      <charset val="238"/>
      <scheme val="minor"/>
    </font>
    <font>
      <sz val="10"/>
      <color theme="3"/>
      <name val="Arial"/>
      <family val="2"/>
      <charset val="238"/>
    </font>
    <font>
      <b/>
      <sz val="12"/>
      <color theme="3"/>
      <name val="Times New Roman"/>
      <family val="1"/>
      <charset val="238"/>
    </font>
    <font>
      <sz val="12"/>
      <color theme="3"/>
      <name val="Times New Roman"/>
      <family val="1"/>
      <charset val="238"/>
    </font>
    <font>
      <sz val="8"/>
      <color theme="3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9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b/>
      <sz val="9"/>
      <color rgb="FFC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8" tint="-0.249977111117893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 Narrow"/>
      <family val="2"/>
      <charset val="238"/>
    </font>
    <font>
      <i/>
      <sz val="10"/>
      <color rgb="FFFF0000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9"/>
      <name val="Calibri"/>
      <family val="2"/>
      <charset val="238"/>
    </font>
    <font>
      <sz val="10"/>
      <color theme="9" tint="-0.499984740745262"/>
      <name val="Calibri"/>
      <family val="2"/>
      <charset val="238"/>
      <scheme val="minor"/>
    </font>
    <font>
      <b/>
      <sz val="9"/>
      <color theme="9" tint="-0.499984740745262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Arial Narrow"/>
      <family val="2"/>
      <charset val="238"/>
    </font>
    <font>
      <sz val="8"/>
      <name val="Arial Narrow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6"/>
      <color rgb="FFC00000"/>
      <name val="Calibri"/>
      <family val="2"/>
      <charset val="238"/>
      <scheme val="minor"/>
    </font>
    <font>
      <i/>
      <sz val="9"/>
      <color rgb="FFC00000"/>
      <name val="Calibri"/>
      <family val="2"/>
      <charset val="238"/>
      <scheme val="minor"/>
    </font>
    <font>
      <b/>
      <i/>
      <sz val="9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i/>
      <sz val="10"/>
      <color rgb="FFC00000"/>
      <name val="Calibri"/>
      <family val="2"/>
      <charset val="238"/>
      <scheme val="minor"/>
    </font>
    <font>
      <b/>
      <i/>
      <sz val="10"/>
      <color rgb="FFC00000"/>
      <name val="Arial Narrow"/>
      <family val="2"/>
      <charset val="238"/>
    </font>
    <font>
      <i/>
      <sz val="10"/>
      <color rgb="FFC00000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sz val="10"/>
      <color rgb="FFC00000"/>
      <name val="Arial Narrow"/>
      <family val="2"/>
      <charset val="238"/>
    </font>
    <font>
      <sz val="8"/>
      <color theme="0"/>
      <name val="Calibri"/>
      <family val="2"/>
      <charset val="238"/>
      <scheme val="minor"/>
    </font>
    <font>
      <sz val="10"/>
      <color theme="0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43" fontId="2" fillId="0" borderId="0" applyFont="0" applyFill="0" applyBorder="0" applyAlignment="0" applyProtection="0"/>
  </cellStyleXfs>
  <cellXfs count="59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 wrapText="1"/>
    </xf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8" fillId="0" borderId="0" xfId="0" applyFont="1" applyAlignment="1">
      <alignment horizontal="right"/>
    </xf>
    <xf numFmtId="167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1" fillId="0" borderId="0" xfId="0" applyFont="1"/>
    <xf numFmtId="4" fontId="0" fillId="0" borderId="0" xfId="0" applyNumberFormat="1"/>
    <xf numFmtId="0" fontId="25" fillId="0" borderId="0" xfId="0" applyFont="1" applyAlignment="1">
      <alignment vertical="center" wrapText="1"/>
    </xf>
    <xf numFmtId="167" fontId="7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/>
    <xf numFmtId="165" fontId="28" fillId="0" borderId="0" xfId="1" applyNumberFormat="1" applyFont="1"/>
    <xf numFmtId="0" fontId="28" fillId="0" borderId="0" xfId="1" applyFont="1"/>
    <xf numFmtId="0" fontId="28" fillId="0" borderId="0" xfId="1" applyFont="1" applyAlignment="1">
      <alignment horizontal="center" wrapText="1"/>
    </xf>
    <xf numFmtId="0" fontId="8" fillId="0" borderId="0" xfId="1" applyFont="1" applyAlignment="1">
      <alignment horizontal="center" vertical="center" wrapText="1"/>
    </xf>
    <xf numFmtId="0" fontId="26" fillId="0" borderId="0" xfId="1" applyFont="1" applyAlignment="1">
      <alignment wrapText="1"/>
    </xf>
    <xf numFmtId="164" fontId="28" fillId="0" borderId="0" xfId="1" applyNumberFormat="1" applyFont="1"/>
    <xf numFmtId="164" fontId="27" fillId="0" borderId="0" xfId="1" applyNumberFormat="1" applyFont="1"/>
    <xf numFmtId="0" fontId="17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8" fillId="6" borderId="0" xfId="1" applyFont="1" applyFill="1"/>
    <xf numFmtId="164" fontId="8" fillId="0" borderId="0" xfId="1" applyNumberFormat="1" applyFont="1"/>
    <xf numFmtId="164" fontId="23" fillId="0" borderId="0" xfId="1" applyNumberFormat="1" applyFont="1"/>
    <xf numFmtId="4" fontId="28" fillId="0" borderId="0" xfId="2" applyNumberFormat="1" applyFont="1"/>
    <xf numFmtId="0" fontId="28" fillId="0" borderId="0" xfId="2" applyFont="1"/>
    <xf numFmtId="4" fontId="27" fillId="0" borderId="0" xfId="2" applyNumberFormat="1" applyFont="1"/>
    <xf numFmtId="49" fontId="8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31" fillId="0" borderId="0" xfId="0" applyFont="1"/>
    <xf numFmtId="3" fontId="8" fillId="0" borderId="0" xfId="0" applyNumberFormat="1" applyFont="1" applyAlignment="1">
      <alignment vertical="center"/>
    </xf>
    <xf numFmtId="0" fontId="27" fillId="0" borderId="0" xfId="1" applyFont="1" applyAlignment="1">
      <alignment horizontal="left"/>
    </xf>
    <xf numFmtId="165" fontId="28" fillId="0" borderId="0" xfId="1" applyNumberFormat="1" applyFont="1" applyAlignment="1">
      <alignment horizontal="center" wrapText="1"/>
    </xf>
    <xf numFmtId="165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6" fillId="0" borderId="27" xfId="1" applyFont="1" applyBorder="1" applyAlignment="1">
      <alignment horizontal="center"/>
    </xf>
    <xf numFmtId="165" fontId="26" fillId="0" borderId="0" xfId="1" applyNumberFormat="1" applyFont="1" applyAlignment="1">
      <alignment wrapText="1"/>
    </xf>
    <xf numFmtId="0" fontId="26" fillId="0" borderId="0" xfId="1" applyFont="1"/>
    <xf numFmtId="0" fontId="28" fillId="0" borderId="0" xfId="1" applyFont="1" applyBorder="1" applyAlignment="1">
      <alignment horizontal="left"/>
    </xf>
    <xf numFmtId="0" fontId="32" fillId="9" borderId="0" xfId="3" applyFont="1" applyFill="1"/>
    <xf numFmtId="171" fontId="33" fillId="9" borderId="0" xfId="3" applyNumberFormat="1" applyFont="1" applyFill="1" applyAlignment="1">
      <alignment horizontal="right"/>
    </xf>
    <xf numFmtId="43" fontId="28" fillId="0" borderId="0" xfId="4" applyFont="1"/>
    <xf numFmtId="0" fontId="34" fillId="0" borderId="0" xfId="0" applyFont="1"/>
    <xf numFmtId="3" fontId="34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36" fillId="0" borderId="0" xfId="0" applyFont="1"/>
    <xf numFmtId="0" fontId="35" fillId="0" borderId="0" xfId="0" applyFont="1"/>
    <xf numFmtId="0" fontId="3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4" fontId="7" fillId="0" borderId="32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9" fillId="3" borderId="32" xfId="0" applyFont="1" applyFill="1" applyBorder="1" applyAlignment="1">
      <alignment horizontal="center" vertical="center" wrapText="1"/>
    </xf>
    <xf numFmtId="0" fontId="42" fillId="3" borderId="32" xfId="0" applyFont="1" applyFill="1" applyBorder="1" applyAlignment="1">
      <alignment horizontal="center" vertical="center" textRotation="90" wrapText="1"/>
    </xf>
    <xf numFmtId="0" fontId="44" fillId="0" borderId="32" xfId="0" applyFont="1" applyBorder="1" applyAlignment="1">
      <alignment horizontal="center" vertical="center" wrapText="1"/>
    </xf>
    <xf numFmtId="0" fontId="44" fillId="0" borderId="0" xfId="0" applyFont="1"/>
    <xf numFmtId="0" fontId="39" fillId="3" borderId="32" xfId="0" applyFont="1" applyFill="1" applyBorder="1" applyAlignment="1">
      <alignment horizontal="right" vertical="center" wrapText="1"/>
    </xf>
    <xf numFmtId="3" fontId="39" fillId="3" borderId="32" xfId="0" applyNumberFormat="1" applyFont="1" applyFill="1" applyBorder="1" applyAlignment="1">
      <alignment horizontal="right" vertical="center" wrapText="1"/>
    </xf>
    <xf numFmtId="3" fontId="39" fillId="0" borderId="32" xfId="0" applyNumberFormat="1" applyFont="1" applyBorder="1"/>
    <xf numFmtId="3" fontId="7" fillId="0" borderId="32" xfId="0" applyNumberFormat="1" applyFont="1" applyBorder="1" applyAlignment="1">
      <alignment horizontal="right" vertical="center" wrapText="1"/>
    </xf>
    <xf numFmtId="4" fontId="7" fillId="4" borderId="32" xfId="0" applyNumberFormat="1" applyFont="1" applyFill="1" applyBorder="1" applyAlignment="1">
      <alignment vertical="center"/>
    </xf>
    <xf numFmtId="4" fontId="7" fillId="3" borderId="32" xfId="0" applyNumberFormat="1" applyFont="1" applyFill="1" applyBorder="1" applyAlignment="1">
      <alignment vertical="center" wrapText="1"/>
    </xf>
    <xf numFmtId="164" fontId="7" fillId="4" borderId="32" xfId="0" applyNumberFormat="1" applyFont="1" applyFill="1" applyBorder="1" applyAlignment="1">
      <alignment horizontal="center" vertical="center"/>
    </xf>
    <xf numFmtId="0" fontId="47" fillId="0" borderId="0" xfId="1" applyFont="1" applyAlignment="1">
      <alignment horizontal="left"/>
    </xf>
    <xf numFmtId="3" fontId="50" fillId="5" borderId="32" xfId="0" applyNumberFormat="1" applyFont="1" applyFill="1" applyBorder="1" applyAlignment="1">
      <alignment vertical="center"/>
    </xf>
    <xf numFmtId="0" fontId="50" fillId="5" borderId="32" xfId="0" applyFont="1" applyFill="1" applyBorder="1" applyAlignment="1">
      <alignment vertical="center"/>
    </xf>
    <xf numFmtId="49" fontId="7" fillId="4" borderId="0" xfId="0" applyNumberFormat="1" applyFont="1" applyFill="1" applyAlignment="1">
      <alignment horizontal="left" vertical="center" wrapText="1"/>
    </xf>
    <xf numFmtId="0" fontId="7" fillId="4" borderId="0" xfId="0" applyFont="1" applyFill="1" applyAlignment="1">
      <alignment horizontal="center"/>
    </xf>
    <xf numFmtId="0" fontId="51" fillId="0" borderId="0" xfId="0" applyFont="1"/>
    <xf numFmtId="0" fontId="52" fillId="0" borderId="0" xfId="0" applyFont="1"/>
    <xf numFmtId="0" fontId="50" fillId="0" borderId="0" xfId="0" applyFont="1"/>
    <xf numFmtId="0" fontId="49" fillId="0" borderId="0" xfId="0" applyFont="1"/>
    <xf numFmtId="3" fontId="7" fillId="4" borderId="33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quotePrefix="1" applyFont="1" applyAlignment="1">
      <alignment vertical="center"/>
    </xf>
    <xf numFmtId="169" fontId="7" fillId="4" borderId="32" xfId="0" applyNumberFormat="1" applyFont="1" applyFill="1" applyBorder="1" applyAlignment="1">
      <alignment horizontal="center" vertical="center"/>
    </xf>
    <xf numFmtId="164" fontId="7" fillId="4" borderId="32" xfId="1" applyNumberFormat="1" applyFont="1" applyFill="1" applyBorder="1" applyAlignment="1">
      <alignment vertical="center"/>
    </xf>
    <xf numFmtId="49" fontId="53" fillId="0" borderId="0" xfId="0" applyNumberFormat="1" applyFont="1" applyAlignment="1">
      <alignment vertical="center" wrapText="1"/>
    </xf>
    <xf numFmtId="0" fontId="54" fillId="0" borderId="0" xfId="0" applyFont="1"/>
    <xf numFmtId="4" fontId="54" fillId="0" borderId="0" xfId="0" applyNumberFormat="1" applyFont="1" applyAlignment="1">
      <alignment horizontal="center" vertical="center"/>
    </xf>
    <xf numFmtId="4" fontId="5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4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7" fillId="4" borderId="32" xfId="0" applyNumberFormat="1" applyFont="1" applyFill="1" applyBorder="1" applyAlignment="1">
      <alignment horizontal="center" vertical="center" wrapText="1"/>
    </xf>
    <xf numFmtId="0" fontId="39" fillId="3" borderId="13" xfId="0" applyFont="1" applyFill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0" fontId="7" fillId="0" borderId="0" xfId="0" applyFont="1"/>
    <xf numFmtId="0" fontId="7" fillId="0" borderId="32" xfId="0" applyFont="1" applyBorder="1"/>
    <xf numFmtId="4" fontId="39" fillId="0" borderId="32" xfId="0" applyNumberFormat="1" applyFont="1" applyBorder="1"/>
    <xf numFmtId="0" fontId="39" fillId="0" borderId="32" xfId="0" applyFont="1" applyBorder="1"/>
    <xf numFmtId="3" fontId="7" fillId="0" borderId="0" xfId="0" applyNumberFormat="1" applyFont="1"/>
    <xf numFmtId="3" fontId="7" fillId="0" borderId="3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4" fontId="39" fillId="0" borderId="0" xfId="0" applyNumberFormat="1" applyFont="1" applyBorder="1" applyAlignment="1">
      <alignment horizontal="center"/>
    </xf>
    <xf numFmtId="0" fontId="39" fillId="0" borderId="0" xfId="0" applyFont="1" applyBorder="1"/>
    <xf numFmtId="4" fontId="39" fillId="0" borderId="0" xfId="0" applyNumberFormat="1" applyFont="1" applyBorder="1"/>
    <xf numFmtId="0" fontId="7" fillId="0" borderId="0" xfId="0" applyFont="1" applyBorder="1"/>
    <xf numFmtId="3" fontId="39" fillId="0" borderId="0" xfId="0" applyNumberFormat="1" applyFont="1" applyBorder="1"/>
    <xf numFmtId="49" fontId="46" fillId="0" borderId="0" xfId="0" applyNumberFormat="1" applyFont="1" applyAlignment="1">
      <alignment horizontal="right" vertical="center" wrapText="1"/>
    </xf>
    <xf numFmtId="4" fontId="45" fillId="0" borderId="0" xfId="0" applyNumberFormat="1" applyFont="1" applyAlignment="1">
      <alignment vertical="center" wrapText="1"/>
    </xf>
    <xf numFmtId="0" fontId="44" fillId="0" borderId="3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5" fillId="2" borderId="15" xfId="2" applyFont="1" applyFill="1" applyBorder="1" applyAlignment="1">
      <alignment horizontal="center" vertical="center"/>
    </xf>
    <xf numFmtId="2" fontId="5" fillId="2" borderId="16" xfId="2" applyNumberFormat="1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/>
    </xf>
    <xf numFmtId="0" fontId="5" fillId="0" borderId="18" xfId="2" applyFont="1" applyBorder="1"/>
    <xf numFmtId="3" fontId="5" fillId="0" borderId="1" xfId="2" applyNumberFormat="1" applyFont="1" applyBorder="1"/>
    <xf numFmtId="4" fontId="5" fillId="0" borderId="1" xfId="2" applyNumberFormat="1" applyFont="1" applyBorder="1"/>
    <xf numFmtId="0" fontId="5" fillId="0" borderId="20" xfId="2" applyFont="1" applyBorder="1" applyAlignment="1">
      <alignment horizontal="right"/>
    </xf>
    <xf numFmtId="3" fontId="5" fillId="0" borderId="3" xfId="2" applyNumberFormat="1" applyFont="1" applyBorder="1"/>
    <xf numFmtId="4" fontId="5" fillId="0" borderId="3" xfId="2" applyNumberFormat="1" applyFont="1" applyBorder="1"/>
    <xf numFmtId="0" fontId="5" fillId="0" borderId="20" xfId="2" applyFont="1" applyBorder="1"/>
    <xf numFmtId="3" fontId="5" fillId="0" borderId="13" xfId="2" applyNumberFormat="1" applyFont="1" applyBorder="1"/>
    <xf numFmtId="4" fontId="5" fillId="0" borderId="13" xfId="2" applyNumberFormat="1" applyFont="1" applyBorder="1"/>
    <xf numFmtId="164" fontId="5" fillId="0" borderId="16" xfId="2" applyNumberFormat="1" applyFont="1" applyBorder="1"/>
    <xf numFmtId="164" fontId="5" fillId="0" borderId="17" xfId="2" applyNumberFormat="1" applyFont="1" applyBorder="1"/>
    <xf numFmtId="0" fontId="5" fillId="0" borderId="3" xfId="2" applyFont="1" applyBorder="1"/>
    <xf numFmtId="164" fontId="5" fillId="0" borderId="3" xfId="2" applyNumberFormat="1" applyFont="1" applyBorder="1"/>
    <xf numFmtId="164" fontId="5" fillId="0" borderId="21" xfId="2" applyNumberFormat="1" applyFont="1" applyBorder="1"/>
    <xf numFmtId="4" fontId="5" fillId="0" borderId="0" xfId="2" applyNumberFormat="1" applyFont="1"/>
    <xf numFmtId="0" fontId="5" fillId="0" borderId="0" xfId="2" applyFont="1"/>
    <xf numFmtId="164" fontId="5" fillId="0" borderId="7" xfId="2" applyNumberFormat="1" applyFont="1" applyBorder="1"/>
    <xf numFmtId="164" fontId="5" fillId="0" borderId="22" xfId="2" applyNumberFormat="1" applyFont="1" applyBorder="1"/>
    <xf numFmtId="0" fontId="5" fillId="2" borderId="15" xfId="2" applyFont="1" applyFill="1" applyBorder="1"/>
    <xf numFmtId="0" fontId="5" fillId="2" borderId="16" xfId="2" applyFont="1" applyFill="1" applyBorder="1"/>
    <xf numFmtId="0" fontId="5" fillId="0" borderId="1" xfId="2" applyFont="1" applyBorder="1"/>
    <xf numFmtId="2" fontId="5" fillId="0" borderId="1" xfId="2" applyNumberFormat="1" applyFont="1" applyBorder="1"/>
    <xf numFmtId="2" fontId="5" fillId="0" borderId="19" xfId="2" applyNumberFormat="1" applyFont="1" applyBorder="1"/>
    <xf numFmtId="0" fontId="5" fillId="0" borderId="23" xfId="2" applyFont="1" applyBorder="1"/>
    <xf numFmtId="0" fontId="5" fillId="0" borderId="7" xfId="2" applyFont="1" applyBorder="1"/>
    <xf numFmtId="2" fontId="5" fillId="0" borderId="22" xfId="2" applyNumberFormat="1" applyFont="1" applyBorder="1"/>
    <xf numFmtId="2" fontId="5" fillId="0" borderId="17" xfId="2" applyNumberFormat="1" applyFont="1" applyBorder="1"/>
    <xf numFmtId="170" fontId="47" fillId="0" borderId="24" xfId="2" applyNumberFormat="1" applyFont="1" applyBorder="1" applyAlignment="1">
      <alignment horizontal="right" vertical="center"/>
    </xf>
    <xf numFmtId="164" fontId="47" fillId="0" borderId="17" xfId="2" applyNumberFormat="1" applyFont="1" applyBorder="1" applyAlignment="1">
      <alignment horizontal="right" vertical="center"/>
    </xf>
    <xf numFmtId="2" fontId="5" fillId="0" borderId="39" xfId="2" applyNumberFormat="1" applyFont="1" applyBorder="1"/>
    <xf numFmtId="0" fontId="57" fillId="0" borderId="32" xfId="3" applyFont="1" applyBorder="1" applyAlignment="1">
      <alignment horizontal="center" vertical="center"/>
    </xf>
    <xf numFmtId="167" fontId="57" fillId="4" borderId="32" xfId="3" applyNumberFormat="1" applyFont="1" applyFill="1" applyBorder="1" applyAlignment="1">
      <alignment horizontal="center" vertical="center" textRotation="90" wrapText="1"/>
    </xf>
    <xf numFmtId="167" fontId="57" fillId="0" borderId="32" xfId="3" applyNumberFormat="1" applyFont="1" applyBorder="1" applyAlignment="1">
      <alignment horizontal="left" vertical="center" textRotation="90" wrapText="1"/>
    </xf>
    <xf numFmtId="167" fontId="58" fillId="8" borderId="32" xfId="0" applyNumberFormat="1" applyFont="1" applyFill="1" applyBorder="1" applyAlignment="1">
      <alignment horizontal="left"/>
    </xf>
    <xf numFmtId="0" fontId="59" fillId="0" borderId="0" xfId="0" applyFont="1"/>
    <xf numFmtId="1" fontId="7" fillId="7" borderId="32" xfId="3" applyNumberFormat="1" applyFont="1" applyFill="1" applyBorder="1" applyAlignment="1">
      <alignment horizontal="center"/>
    </xf>
    <xf numFmtId="1" fontId="7" fillId="4" borderId="32" xfId="3" applyNumberFormat="1" applyFont="1" applyFill="1" applyBorder="1" applyAlignment="1">
      <alignment horizontal="center"/>
    </xf>
    <xf numFmtId="1" fontId="39" fillId="7" borderId="32" xfId="3" applyNumberFormat="1" applyFont="1" applyFill="1" applyBorder="1" applyAlignment="1">
      <alignment horizontal="center"/>
    </xf>
    <xf numFmtId="1" fontId="39" fillId="2" borderId="32" xfId="3" applyNumberFormat="1" applyFont="1" applyFill="1" applyBorder="1" applyAlignment="1">
      <alignment horizontal="center"/>
    </xf>
    <xf numFmtId="167" fontId="42" fillId="0" borderId="32" xfId="0" applyNumberFormat="1" applyFont="1" applyBorder="1"/>
    <xf numFmtId="0" fontId="42" fillId="7" borderId="32" xfId="3" applyFont="1" applyFill="1" applyBorder="1"/>
    <xf numFmtId="0" fontId="42" fillId="4" borderId="32" xfId="3" applyFont="1" applyFill="1" applyBorder="1"/>
    <xf numFmtId="0" fontId="43" fillId="2" borderId="32" xfId="3" applyFont="1" applyFill="1" applyBorder="1"/>
    <xf numFmtId="0" fontId="25" fillId="0" borderId="32" xfId="3" applyFont="1" applyBorder="1" applyAlignment="1">
      <alignment horizontal="left" textRotation="90" wrapText="1"/>
    </xf>
    <xf numFmtId="0" fontId="39" fillId="0" borderId="32" xfId="3" applyFont="1" applyBorder="1" applyAlignment="1">
      <alignment horizontal="center" vertical="center" wrapText="1"/>
    </xf>
    <xf numFmtId="2" fontId="39" fillId="0" borderId="32" xfId="3" applyNumberFormat="1" applyFont="1" applyBorder="1" applyAlignment="1">
      <alignment horizontal="center" vertical="center" wrapText="1"/>
    </xf>
    <xf numFmtId="4" fontId="7" fillId="0" borderId="32" xfId="3" applyNumberFormat="1" applyFont="1" applyBorder="1" applyAlignment="1">
      <alignment horizontal="left" textRotation="90" wrapText="1"/>
    </xf>
    <xf numFmtId="4" fontId="39" fillId="0" borderId="32" xfId="3" applyNumberFormat="1" applyFont="1" applyBorder="1" applyAlignment="1">
      <alignment horizontal="center" vertical="center" wrapText="1"/>
    </xf>
    <xf numFmtId="4" fontId="42" fillId="0" borderId="32" xfId="3" applyNumberFormat="1" applyFont="1" applyBorder="1" applyAlignment="1">
      <alignment horizontal="left" textRotation="90" wrapText="1"/>
    </xf>
    <xf numFmtId="167" fontId="60" fillId="0" borderId="32" xfId="3" applyNumberFormat="1" applyFont="1" applyBorder="1" applyAlignment="1">
      <alignment horizontal="right" vertical="center"/>
    </xf>
    <xf numFmtId="0" fontId="42" fillId="0" borderId="32" xfId="0" applyFont="1" applyBorder="1"/>
    <xf numFmtId="167" fontId="7" fillId="0" borderId="32" xfId="3" applyNumberFormat="1" applyFont="1" applyBorder="1" applyAlignment="1">
      <alignment horizontal="center" vertical="center" wrapText="1"/>
    </xf>
    <xf numFmtId="0" fontId="43" fillId="8" borderId="32" xfId="0" applyFont="1" applyFill="1" applyBorder="1"/>
    <xf numFmtId="167" fontId="39" fillId="8" borderId="32" xfId="3" applyNumberFormat="1" applyFont="1" applyFill="1" applyBorder="1" applyAlignment="1">
      <alignment horizontal="center" vertical="center" wrapText="1"/>
    </xf>
    <xf numFmtId="167" fontId="61" fillId="8" borderId="32" xfId="3" applyNumberFormat="1" applyFont="1" applyFill="1" applyBorder="1" applyAlignment="1">
      <alignment horizontal="right" vertical="center"/>
    </xf>
    <xf numFmtId="4" fontId="7" fillId="0" borderId="32" xfId="3" applyNumberFormat="1" applyFont="1" applyBorder="1" applyAlignment="1">
      <alignment horizontal="right" vertical="center" wrapText="1"/>
    </xf>
    <xf numFmtId="167" fontId="43" fillId="8" borderId="32" xfId="0" applyNumberFormat="1" applyFont="1" applyFill="1" applyBorder="1" applyAlignment="1">
      <alignment horizontal="left"/>
    </xf>
    <xf numFmtId="167" fontId="39" fillId="8" borderId="32" xfId="3" applyNumberFormat="1" applyFont="1" applyFill="1" applyBorder="1" applyAlignment="1">
      <alignment horizontal="right" vertical="center" wrapText="1"/>
    </xf>
    <xf numFmtId="4" fontId="39" fillId="8" borderId="32" xfId="3" applyNumberFormat="1" applyFont="1" applyFill="1" applyBorder="1" applyAlignment="1">
      <alignment horizontal="right" vertical="center" wrapText="1"/>
    </xf>
    <xf numFmtId="0" fontId="39" fillId="11" borderId="0" xfId="0" applyFont="1" applyFill="1" applyAlignment="1">
      <alignment horizontal="right"/>
    </xf>
    <xf numFmtId="172" fontId="39" fillId="8" borderId="32" xfId="3" applyNumberFormat="1" applyFont="1" applyFill="1" applyBorder="1" applyAlignment="1">
      <alignment horizontal="right" vertical="center" wrapText="1"/>
    </xf>
    <xf numFmtId="0" fontId="39" fillId="11" borderId="0" xfId="0" applyFont="1" applyFill="1" applyAlignment="1"/>
    <xf numFmtId="4" fontId="7" fillId="0" borderId="32" xfId="3" applyNumberFormat="1" applyFont="1" applyBorder="1" applyAlignment="1">
      <alignment horizontal="right"/>
    </xf>
    <xf numFmtId="4" fontId="39" fillId="2" borderId="32" xfId="3" applyNumberFormat="1" applyFont="1" applyFill="1" applyBorder="1" applyAlignment="1">
      <alignment horizontal="right"/>
    </xf>
    <xf numFmtId="4" fontId="39" fillId="0" borderId="32" xfId="3" applyNumberFormat="1" applyFont="1" applyBorder="1" applyAlignment="1">
      <alignment horizontal="right"/>
    </xf>
    <xf numFmtId="1" fontId="39" fillId="0" borderId="0" xfId="0" applyNumberFormat="1" applyFont="1" applyAlignment="1">
      <alignment horizontal="right"/>
    </xf>
    <xf numFmtId="1" fontId="39" fillId="9" borderId="0" xfId="0" applyNumberFormat="1" applyFont="1" applyFill="1" applyAlignment="1">
      <alignment horizontal="right"/>
    </xf>
    <xf numFmtId="1" fontId="39" fillId="7" borderId="32" xfId="3" applyNumberFormat="1" applyFont="1" applyFill="1" applyBorder="1"/>
    <xf numFmtId="1" fontId="29" fillId="7" borderId="32" xfId="3" applyNumberFormat="1" applyFont="1" applyFill="1" applyBorder="1" applyAlignment="1">
      <alignment horizontal="center"/>
    </xf>
    <xf numFmtId="1" fontId="29" fillId="4" borderId="32" xfId="3" applyNumberFormat="1" applyFont="1" applyFill="1" applyBorder="1" applyAlignment="1">
      <alignment horizontal="center"/>
    </xf>
    <xf numFmtId="2" fontId="56" fillId="0" borderId="32" xfId="3" applyNumberFormat="1" applyFont="1" applyBorder="1" applyAlignment="1">
      <alignment horizontal="center" textRotation="90" wrapText="1"/>
    </xf>
    <xf numFmtId="4" fontId="39" fillId="4" borderId="32" xfId="3" applyNumberFormat="1" applyFont="1" applyFill="1" applyBorder="1" applyAlignment="1">
      <alignment horizontal="center"/>
    </xf>
    <xf numFmtId="4" fontId="4" fillId="0" borderId="0" xfId="0" applyNumberFormat="1" applyFont="1"/>
    <xf numFmtId="0" fontId="42" fillId="0" borderId="0" xfId="0" applyFont="1" applyAlignment="1">
      <alignment horizontal="center"/>
    </xf>
    <xf numFmtId="4" fontId="28" fillId="0" borderId="0" xfId="2" applyNumberFormat="1" applyFont="1" applyAlignment="1">
      <alignment horizontal="center"/>
    </xf>
    <xf numFmtId="0" fontId="28" fillId="0" borderId="0" xfId="2" applyFont="1" applyAlignment="1">
      <alignment horizontal="center"/>
    </xf>
    <xf numFmtId="4" fontId="46" fillId="0" borderId="0" xfId="0" applyNumberFormat="1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/>
    </xf>
    <xf numFmtId="3" fontId="7" fillId="4" borderId="34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9" fontId="50" fillId="0" borderId="0" xfId="0" applyNumberFormat="1" applyFont="1" applyAlignment="1">
      <alignment vertical="center" wrapText="1"/>
    </xf>
    <xf numFmtId="0" fontId="29" fillId="0" borderId="33" xfId="0" applyFont="1" applyBorder="1" applyAlignment="1">
      <alignment horizontal="left" vertical="center"/>
    </xf>
    <xf numFmtId="2" fontId="39" fillId="5" borderId="32" xfId="0" applyNumberFormat="1" applyFont="1" applyFill="1" applyBorder="1" applyAlignment="1">
      <alignment horizontal="center" vertical="center"/>
    </xf>
    <xf numFmtId="2" fontId="50" fillId="5" borderId="3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35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49" fillId="4" borderId="32" xfId="0" applyFont="1" applyFill="1" applyBorder="1" applyAlignment="1">
      <alignment horizontal="right" vertical="center"/>
    </xf>
    <xf numFmtId="3" fontId="49" fillId="4" borderId="32" xfId="0" applyNumberFormat="1" applyFont="1" applyFill="1" applyBorder="1" applyAlignment="1">
      <alignment horizontal="right" vertical="center"/>
    </xf>
    <xf numFmtId="49" fontId="7" fillId="4" borderId="0" xfId="0" applyNumberFormat="1" applyFont="1" applyFill="1" applyAlignment="1">
      <alignment horizontal="right" vertical="center" wrapText="1"/>
    </xf>
    <xf numFmtId="2" fontId="49" fillId="5" borderId="32" xfId="0" applyNumberFormat="1" applyFont="1" applyFill="1" applyBorder="1" applyAlignment="1">
      <alignment horizontal="center"/>
    </xf>
    <xf numFmtId="169" fontId="49" fillId="5" borderId="32" xfId="0" applyNumberFormat="1" applyFont="1" applyFill="1" applyBorder="1" applyAlignment="1">
      <alignment horizontal="center"/>
    </xf>
    <xf numFmtId="164" fontId="50" fillId="5" borderId="32" xfId="0" applyNumberFormat="1" applyFont="1" applyFill="1" applyBorder="1" applyAlignment="1">
      <alignment vertical="center"/>
    </xf>
    <xf numFmtId="3" fontId="39" fillId="5" borderId="33" xfId="0" applyNumberFormat="1" applyFont="1" applyFill="1" applyBorder="1" applyAlignment="1">
      <alignment horizontal="center" vertical="center"/>
    </xf>
    <xf numFmtId="4" fontId="39" fillId="5" borderId="32" xfId="0" applyNumberFormat="1" applyFont="1" applyFill="1" applyBorder="1" applyAlignment="1">
      <alignment horizontal="center" vertical="center"/>
    </xf>
    <xf numFmtId="4" fontId="7" fillId="5" borderId="32" xfId="0" applyNumberFormat="1" applyFont="1" applyFill="1" applyBorder="1" applyAlignment="1">
      <alignment horizontal="center" vertical="center"/>
    </xf>
    <xf numFmtId="164" fontId="39" fillId="5" borderId="32" xfId="0" applyNumberFormat="1" applyFont="1" applyFill="1" applyBorder="1" applyAlignment="1">
      <alignment horizontal="right" vertical="center"/>
    </xf>
    <xf numFmtId="4" fontId="7" fillId="5" borderId="0" xfId="0" applyNumberFormat="1" applyFont="1" applyFill="1" applyAlignment="1">
      <alignment horizontal="center" vertical="center"/>
    </xf>
    <xf numFmtId="4" fontId="8" fillId="5" borderId="32" xfId="0" applyNumberFormat="1" applyFont="1" applyFill="1" applyBorder="1" applyAlignment="1">
      <alignment horizontal="center" vertical="center"/>
    </xf>
    <xf numFmtId="0" fontId="49" fillId="5" borderId="32" xfId="0" applyFont="1" applyFill="1" applyBorder="1"/>
    <xf numFmtId="3" fontId="7" fillId="5" borderId="32" xfId="0" applyNumberFormat="1" applyFont="1" applyFill="1" applyBorder="1" applyAlignment="1">
      <alignment horizontal="center" vertical="center"/>
    </xf>
    <xf numFmtId="166" fontId="8" fillId="5" borderId="32" xfId="0" applyNumberFormat="1" applyFont="1" applyFill="1" applyBorder="1" applyAlignment="1">
      <alignment horizontal="center" vertical="center"/>
    </xf>
    <xf numFmtId="3" fontId="39" fillId="5" borderId="32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/>
    </xf>
    <xf numFmtId="49" fontId="39" fillId="0" borderId="32" xfId="0" applyNumberFormat="1" applyFont="1" applyBorder="1" applyAlignment="1">
      <alignment vertical="center" wrapText="1"/>
    </xf>
    <xf numFmtId="49" fontId="50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4" fontId="23" fillId="3" borderId="33" xfId="0" applyNumberFormat="1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9" fillId="5" borderId="32" xfId="0" applyFont="1" applyFill="1" applyBorder="1" applyAlignment="1">
      <alignment horizontal="center" vertical="center"/>
    </xf>
    <xf numFmtId="0" fontId="29" fillId="5" borderId="33" xfId="0" applyFont="1" applyFill="1" applyBorder="1" applyAlignment="1">
      <alignment horizontal="center" vertical="center"/>
    </xf>
    <xf numFmtId="4" fontId="24" fillId="5" borderId="35" xfId="0" applyNumberFormat="1" applyFont="1" applyFill="1" applyBorder="1" applyAlignment="1">
      <alignment horizontal="center" vertical="center" wrapText="1"/>
    </xf>
    <xf numFmtId="4" fontId="29" fillId="5" borderId="35" xfId="0" applyNumberFormat="1" applyFont="1" applyFill="1" applyBorder="1" applyAlignment="1">
      <alignment horizontal="center" vertical="center" wrapText="1"/>
    </xf>
    <xf numFmtId="0" fontId="63" fillId="5" borderId="35" xfId="0" applyFont="1" applyFill="1" applyBorder="1" applyAlignment="1">
      <alignment horizontal="center" vertical="center"/>
    </xf>
    <xf numFmtId="4" fontId="29" fillId="0" borderId="32" xfId="3" applyNumberFormat="1" applyFont="1" applyBorder="1" applyAlignment="1">
      <alignment horizontal="left" vertical="center" wrapText="1"/>
    </xf>
    <xf numFmtId="166" fontId="29" fillId="0" borderId="32" xfId="0" applyNumberFormat="1" applyFont="1" applyBorder="1" applyAlignment="1">
      <alignment horizontal="left" vertical="center" wrapText="1"/>
    </xf>
    <xf numFmtId="0" fontId="29" fillId="0" borderId="32" xfId="3" applyFont="1" applyBorder="1" applyAlignment="1">
      <alignment horizontal="left" vertical="center" wrapText="1"/>
    </xf>
    <xf numFmtId="4" fontId="39" fillId="5" borderId="32" xfId="0" applyNumberFormat="1" applyFont="1" applyFill="1" applyBorder="1" applyAlignment="1">
      <alignment horizontal="center" vertical="center" wrapText="1"/>
    </xf>
    <xf numFmtId="4" fontId="39" fillId="5" borderId="32" xfId="0" applyNumberFormat="1" applyFont="1" applyFill="1" applyBorder="1" applyAlignment="1">
      <alignment horizontal="right" vertical="center" wrapText="1"/>
    </xf>
    <xf numFmtId="4" fontId="39" fillId="5" borderId="32" xfId="0" applyNumberFormat="1" applyFont="1" applyFill="1" applyBorder="1" applyAlignment="1">
      <alignment vertical="center" wrapText="1"/>
    </xf>
    <xf numFmtId="4" fontId="39" fillId="5" borderId="32" xfId="0" applyNumberFormat="1" applyFont="1" applyFill="1" applyBorder="1"/>
    <xf numFmtId="4" fontId="45" fillId="5" borderId="0" xfId="0" applyNumberFormat="1" applyFont="1" applyFill="1" applyAlignment="1">
      <alignment vertical="center" wrapText="1"/>
    </xf>
    <xf numFmtId="49" fontId="46" fillId="0" borderId="0" xfId="0" applyNumberFormat="1" applyFont="1" applyAlignment="1">
      <alignment horizontal="center" vertical="center"/>
    </xf>
    <xf numFmtId="0" fontId="43" fillId="0" borderId="32" xfId="0" applyFont="1" applyBorder="1" applyAlignment="1">
      <alignment horizontal="center" vertical="center" textRotation="90" wrapText="1"/>
    </xf>
    <xf numFmtId="164" fontId="5" fillId="0" borderId="19" xfId="2" applyNumberFormat="1" applyFont="1" applyBorder="1"/>
    <xf numFmtId="164" fontId="5" fillId="0" borderId="38" xfId="2" applyNumberFormat="1" applyFont="1" applyBorder="1"/>
    <xf numFmtId="9" fontId="5" fillId="0" borderId="0" xfId="2" applyNumberFormat="1" applyFont="1"/>
    <xf numFmtId="168" fontId="5" fillId="0" borderId="0" xfId="2" applyNumberFormat="1" applyFont="1"/>
    <xf numFmtId="4" fontId="47" fillId="0" borderId="0" xfId="2" applyNumberFormat="1" applyFont="1" applyAlignment="1">
      <alignment horizontal="right"/>
    </xf>
    <xf numFmtId="4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vertical="center" wrapText="1"/>
    </xf>
    <xf numFmtId="0" fontId="5" fillId="0" borderId="0" xfId="1" applyFont="1" applyBorder="1" applyAlignment="1">
      <alignment horizontal="left"/>
    </xf>
    <xf numFmtId="0" fontId="42" fillId="0" borderId="32" xfId="0" applyFont="1" applyBorder="1" applyAlignment="1">
      <alignment horizontal="center" vertical="center"/>
    </xf>
    <xf numFmtId="0" fontId="42" fillId="0" borderId="32" xfId="0" applyFont="1" applyBorder="1" applyAlignment="1">
      <alignment horizontal="left" vertical="center" wrapText="1"/>
    </xf>
    <xf numFmtId="164" fontId="29" fillId="5" borderId="30" xfId="1" applyNumberFormat="1" applyFont="1" applyFill="1" applyBorder="1" applyAlignment="1">
      <alignment horizontal="center" vertical="center" wrapText="1"/>
    </xf>
    <xf numFmtId="164" fontId="29" fillId="5" borderId="31" xfId="1" applyNumberFormat="1" applyFont="1" applyFill="1" applyBorder="1" applyAlignment="1">
      <alignment horizontal="center" vertical="center" wrapText="1"/>
    </xf>
    <xf numFmtId="164" fontId="29" fillId="2" borderId="30" xfId="1" applyNumberFormat="1" applyFont="1" applyFill="1" applyBorder="1" applyAlignment="1">
      <alignment horizontal="center" vertical="center" wrapText="1"/>
    </xf>
    <xf numFmtId="164" fontId="29" fillId="2" borderId="31" xfId="1" applyNumberFormat="1" applyFont="1" applyFill="1" applyBorder="1" applyAlignment="1">
      <alignment horizontal="center" vertical="center" wrapText="1"/>
    </xf>
    <xf numFmtId="164" fontId="29" fillId="2" borderId="12" xfId="1" applyNumberFormat="1" applyFont="1" applyFill="1" applyBorder="1" applyAlignment="1">
      <alignment horizontal="center" vertical="center" wrapText="1"/>
    </xf>
    <xf numFmtId="164" fontId="29" fillId="2" borderId="41" xfId="1" applyNumberFormat="1" applyFont="1" applyFill="1" applyBorder="1" applyAlignment="1">
      <alignment horizontal="center" vertical="center" wrapText="1"/>
    </xf>
    <xf numFmtId="164" fontId="29" fillId="5" borderId="41" xfId="1" applyNumberFormat="1" applyFont="1" applyFill="1" applyBorder="1" applyAlignment="1">
      <alignment horizontal="center" vertical="center" wrapText="1"/>
    </xf>
    <xf numFmtId="164" fontId="48" fillId="2" borderId="26" xfId="1" applyNumberFormat="1" applyFont="1" applyFill="1" applyBorder="1" applyAlignment="1">
      <alignment horizontal="center" vertical="center" wrapText="1"/>
    </xf>
    <xf numFmtId="164" fontId="29" fillId="4" borderId="31" xfId="1" applyNumberFormat="1" applyFont="1" applyFill="1" applyBorder="1" applyAlignment="1">
      <alignment horizontal="center" vertical="center" wrapText="1"/>
    </xf>
    <xf numFmtId="164" fontId="29" fillId="4" borderId="26" xfId="1" applyNumberFormat="1" applyFont="1" applyFill="1" applyBorder="1" applyAlignment="1">
      <alignment horizontal="center" vertical="center" wrapText="1"/>
    </xf>
    <xf numFmtId="9" fontId="29" fillId="5" borderId="12" xfId="1" applyNumberFormat="1" applyFont="1" applyFill="1" applyBorder="1" applyAlignment="1">
      <alignment horizontal="center" vertical="center" wrapText="1"/>
    </xf>
    <xf numFmtId="9" fontId="29" fillId="5" borderId="30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left"/>
    </xf>
    <xf numFmtId="164" fontId="20" fillId="5" borderId="3" xfId="1" applyNumberFormat="1" applyFont="1" applyFill="1" applyBorder="1"/>
    <xf numFmtId="164" fontId="3" fillId="5" borderId="3" xfId="1" applyNumberFormat="1" applyFont="1" applyFill="1" applyBorder="1"/>
    <xf numFmtId="164" fontId="20" fillId="0" borderId="3" xfId="1" applyNumberFormat="1" applyFont="1" applyBorder="1"/>
    <xf numFmtId="164" fontId="3" fillId="0" borderId="3" xfId="1" applyNumberFormat="1" applyFont="1" applyBorder="1"/>
    <xf numFmtId="164" fontId="26" fillId="5" borderId="3" xfId="1" applyNumberFormat="1" applyFont="1" applyFill="1" applyBorder="1"/>
    <xf numFmtId="164" fontId="3" fillId="4" borderId="3" xfId="1" applyNumberFormat="1" applyFont="1" applyFill="1" applyBorder="1"/>
    <xf numFmtId="165" fontId="3" fillId="0" borderId="0" xfId="1" applyNumberFormat="1" applyFont="1"/>
    <xf numFmtId="164" fontId="3" fillId="0" borderId="0" xfId="1" applyNumberFormat="1" applyFont="1"/>
    <xf numFmtId="0" fontId="3" fillId="0" borderId="0" xfId="1" applyFont="1"/>
    <xf numFmtId="164" fontId="3" fillId="2" borderId="4" xfId="1" applyNumberFormat="1" applyFont="1" applyFill="1" applyBorder="1" applyAlignment="1">
      <alignment horizontal="left"/>
    </xf>
    <xf numFmtId="164" fontId="3" fillId="5" borderId="28" xfId="1" applyNumberFormat="1" applyFont="1" applyFill="1" applyBorder="1" applyAlignment="1"/>
    <xf numFmtId="164" fontId="3" fillId="4" borderId="28" xfId="1" applyNumberFormat="1" applyFont="1" applyFill="1" applyBorder="1" applyAlignment="1"/>
    <xf numFmtId="164" fontId="3" fillId="2" borderId="3" xfId="1" applyNumberFormat="1" applyFont="1" applyFill="1" applyBorder="1" applyAlignment="1">
      <alignment horizontal="left"/>
    </xf>
    <xf numFmtId="164" fontId="3" fillId="5" borderId="10" xfId="1" applyNumberFormat="1" applyFont="1" applyFill="1" applyBorder="1" applyAlignment="1"/>
    <xf numFmtId="164" fontId="3" fillId="4" borderId="10" xfId="1" applyNumberFormat="1" applyFont="1" applyFill="1" applyBorder="1" applyAlignment="1"/>
    <xf numFmtId="0" fontId="3" fillId="2" borderId="29" xfId="1" applyFont="1" applyFill="1" applyBorder="1" applyAlignment="1">
      <alignment horizontal="left"/>
    </xf>
    <xf numFmtId="0" fontId="3" fillId="5" borderId="8" xfId="1" applyFont="1" applyFill="1" applyBorder="1" applyAlignment="1">
      <alignment wrapText="1"/>
    </xf>
    <xf numFmtId="164" fontId="3" fillId="5" borderId="8" xfId="1" applyNumberFormat="1" applyFont="1" applyFill="1" applyBorder="1"/>
    <xf numFmtId="164" fontId="3" fillId="4" borderId="8" xfId="1" applyNumberFormat="1" applyFont="1" applyFill="1" applyBorder="1"/>
    <xf numFmtId="164" fontId="3" fillId="2" borderId="8" xfId="1" applyNumberFormat="1" applyFont="1" applyFill="1" applyBorder="1"/>
    <xf numFmtId="164" fontId="3" fillId="2" borderId="9" xfId="1" applyNumberFormat="1" applyFont="1" applyFill="1" applyBorder="1" applyAlignment="1">
      <alignment horizontal="left"/>
    </xf>
    <xf numFmtId="164" fontId="3" fillId="0" borderId="0" xfId="1" applyNumberFormat="1" applyFont="1" applyBorder="1"/>
    <xf numFmtId="164" fontId="3" fillId="5" borderId="32" xfId="0" applyNumberFormat="1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left"/>
    </xf>
    <xf numFmtId="164" fontId="64" fillId="5" borderId="3" xfId="1" applyNumberFormat="1" applyFont="1" applyFill="1" applyBorder="1"/>
    <xf numFmtId="164" fontId="64" fillId="4" borderId="3" xfId="1" applyNumberFormat="1" applyFont="1" applyFill="1" applyBorder="1"/>
    <xf numFmtId="164" fontId="3" fillId="5" borderId="6" xfId="1" applyNumberFormat="1" applyFont="1" applyFill="1" applyBorder="1"/>
    <xf numFmtId="2" fontId="20" fillId="0" borderId="0" xfId="1" applyNumberFormat="1" applyFont="1"/>
    <xf numFmtId="164" fontId="3" fillId="5" borderId="10" xfId="1" applyNumberFormat="1" applyFont="1" applyFill="1" applyBorder="1"/>
    <xf numFmtId="164" fontId="3" fillId="5" borderId="13" xfId="1" applyNumberFormat="1" applyFont="1" applyFill="1" applyBorder="1"/>
    <xf numFmtId="164" fontId="3" fillId="4" borderId="13" xfId="1" applyNumberFormat="1" applyFont="1" applyFill="1" applyBorder="1"/>
    <xf numFmtId="164" fontId="20" fillId="0" borderId="0" xfId="1" applyNumberFormat="1" applyFont="1"/>
    <xf numFmtId="0" fontId="3" fillId="5" borderId="8" xfId="1" applyFont="1" applyFill="1" applyBorder="1" applyAlignment="1"/>
    <xf numFmtId="164" fontId="20" fillId="5" borderId="6" xfId="1" applyNumberFormat="1" applyFont="1" applyFill="1" applyBorder="1"/>
    <xf numFmtId="164" fontId="20" fillId="4" borderId="6" xfId="1" applyNumberFormat="1" applyFont="1" applyFill="1" applyBorder="1"/>
    <xf numFmtId="164" fontId="3" fillId="0" borderId="6" xfId="1" applyNumberFormat="1" applyFont="1" applyBorder="1"/>
    <xf numFmtId="164" fontId="26" fillId="5" borderId="6" xfId="1" applyNumberFormat="1" applyFont="1" applyFill="1" applyBorder="1"/>
    <xf numFmtId="164" fontId="3" fillId="2" borderId="14" xfId="1" applyNumberFormat="1" applyFont="1" applyFill="1" applyBorder="1" applyAlignment="1">
      <alignment horizontal="left"/>
    </xf>
    <xf numFmtId="164" fontId="26" fillId="0" borderId="3" xfId="1" applyNumberFormat="1" applyFont="1" applyBorder="1"/>
    <xf numFmtId="164" fontId="26" fillId="4" borderId="3" xfId="1" applyNumberFormat="1" applyFont="1" applyFill="1" applyBorder="1"/>
    <xf numFmtId="0" fontId="20" fillId="2" borderId="29" xfId="1" applyFont="1" applyFill="1" applyBorder="1" applyAlignment="1">
      <alignment horizontal="left"/>
    </xf>
    <xf numFmtId="0" fontId="20" fillId="5" borderId="8" xfId="1" applyFont="1" applyFill="1" applyBorder="1" applyAlignment="1">
      <alignment wrapText="1"/>
    </xf>
    <xf numFmtId="164" fontId="20" fillId="5" borderId="8" xfId="1" applyNumberFormat="1" applyFont="1" applyFill="1" applyBorder="1"/>
    <xf numFmtId="164" fontId="20" fillId="2" borderId="8" xfId="1" applyNumberFormat="1" applyFont="1" applyFill="1" applyBorder="1"/>
    <xf numFmtId="164" fontId="20" fillId="4" borderId="8" xfId="1" applyNumberFormat="1" applyFont="1" applyFill="1" applyBorder="1"/>
    <xf numFmtId="165" fontId="20" fillId="0" borderId="0" xfId="1" applyNumberFormat="1" applyFont="1"/>
    <xf numFmtId="0" fontId="5" fillId="0" borderId="0" xfId="1" applyFont="1" applyBorder="1" applyAlignment="1"/>
    <xf numFmtId="164" fontId="48" fillId="2" borderId="31" xfId="1" applyNumberFormat="1" applyFont="1" applyFill="1" applyBorder="1" applyAlignment="1">
      <alignment vertical="center" wrapText="1"/>
    </xf>
    <xf numFmtId="164" fontId="48" fillId="2" borderId="31" xfId="1" applyNumberFormat="1" applyFont="1" applyFill="1" applyBorder="1" applyAlignment="1">
      <alignment vertical="center"/>
    </xf>
    <xf numFmtId="0" fontId="6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4" fontId="68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/>
    <xf numFmtId="0" fontId="19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6" fillId="3" borderId="32" xfId="0" applyFont="1" applyFill="1" applyBorder="1" applyAlignment="1">
      <alignment horizontal="center" vertical="center" textRotation="90" wrapText="1"/>
    </xf>
    <xf numFmtId="0" fontId="19" fillId="0" borderId="32" xfId="0" applyFont="1" applyBorder="1" applyAlignment="1">
      <alignment horizontal="center" vertical="center" textRotation="90" wrapText="1"/>
    </xf>
    <xf numFmtId="4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1" fontId="71" fillId="0" borderId="0" xfId="0" applyNumberFormat="1" applyFont="1" applyAlignment="1">
      <alignment horizontal="center" vertical="center" wrapText="1"/>
    </xf>
    <xf numFmtId="1" fontId="72" fillId="0" borderId="0" xfId="0" applyNumberFormat="1" applyFont="1" applyAlignment="1">
      <alignment horizontal="center" vertical="center" wrapText="1"/>
    </xf>
    <xf numFmtId="4" fontId="73" fillId="6" borderId="3" xfId="0" applyNumberFormat="1" applyFont="1" applyFill="1" applyBorder="1" applyAlignment="1">
      <alignment horizontal="center" vertical="center" wrapText="1"/>
    </xf>
    <xf numFmtId="4" fontId="70" fillId="6" borderId="3" xfId="0" applyNumberFormat="1" applyFont="1" applyFill="1" applyBorder="1" applyAlignment="1">
      <alignment horizontal="center" vertical="center" wrapText="1"/>
    </xf>
    <xf numFmtId="0" fontId="70" fillId="6" borderId="3" xfId="0" applyFont="1" applyFill="1" applyBorder="1" applyAlignment="1">
      <alignment horizontal="center" vertical="center" wrapText="1"/>
    </xf>
    <xf numFmtId="0" fontId="70" fillId="0" borderId="0" xfId="0" applyFont="1"/>
    <xf numFmtId="0" fontId="17" fillId="0" borderId="33" xfId="0" applyFont="1" applyBorder="1" applyAlignment="1">
      <alignment horizontal="left" vertical="center" wrapText="1"/>
    </xf>
    <xf numFmtId="3" fontId="73" fillId="0" borderId="32" xfId="0" applyNumberFormat="1" applyFont="1" applyBorder="1" applyAlignment="1">
      <alignment vertical="center"/>
    </xf>
    <xf numFmtId="4" fontId="73" fillId="0" borderId="32" xfId="0" applyNumberFormat="1" applyFont="1" applyBorder="1" applyAlignment="1">
      <alignment horizontal="right" vertical="center" wrapText="1"/>
    </xf>
    <xf numFmtId="3" fontId="73" fillId="0" borderId="32" xfId="0" applyNumberFormat="1" applyFont="1" applyBorder="1" applyAlignment="1">
      <alignment horizontal="right" vertical="center" wrapText="1"/>
    </xf>
    <xf numFmtId="4" fontId="73" fillId="4" borderId="3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4" fontId="73" fillId="0" borderId="3" xfId="0" applyNumberFormat="1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73" fillId="0" borderId="0" xfId="0" applyFont="1"/>
    <xf numFmtId="3" fontId="73" fillId="4" borderId="32" xfId="0" applyNumberFormat="1" applyFont="1" applyFill="1" applyBorder="1" applyAlignment="1">
      <alignment vertical="center"/>
    </xf>
    <xf numFmtId="4" fontId="73" fillId="4" borderId="32" xfId="0" applyNumberFormat="1" applyFont="1" applyFill="1" applyBorder="1" applyAlignment="1">
      <alignment vertical="center"/>
    </xf>
    <xf numFmtId="0" fontId="73" fillId="0" borderId="32" xfId="0" applyFont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4" fontId="17" fillId="5" borderId="32" xfId="0" applyNumberFormat="1" applyFont="1" applyFill="1" applyBorder="1" applyAlignment="1">
      <alignment horizontal="right" vertical="center" wrapText="1"/>
    </xf>
    <xf numFmtId="0" fontId="17" fillId="3" borderId="32" xfId="0" applyFont="1" applyFill="1" applyBorder="1" applyAlignment="1">
      <alignment horizontal="right" vertical="center" wrapText="1"/>
    </xf>
    <xf numFmtId="4" fontId="17" fillId="3" borderId="33" xfId="0" applyNumberFormat="1" applyFont="1" applyFill="1" applyBorder="1" applyAlignment="1">
      <alignment horizontal="center" vertical="center" wrapText="1"/>
    </xf>
    <xf numFmtId="4" fontId="73" fillId="3" borderId="32" xfId="0" applyNumberFormat="1" applyFont="1" applyFill="1" applyBorder="1" applyAlignment="1">
      <alignment vertical="center" wrapText="1"/>
    </xf>
    <xf numFmtId="4" fontId="17" fillId="5" borderId="32" xfId="0" applyNumberFormat="1" applyFont="1" applyFill="1" applyBorder="1" applyAlignment="1">
      <alignment vertical="center" wrapText="1"/>
    </xf>
    <xf numFmtId="3" fontId="17" fillId="3" borderId="32" xfId="0" applyNumberFormat="1" applyFont="1" applyFill="1" applyBorder="1" applyAlignment="1">
      <alignment horizontal="right" vertical="center" wrapText="1"/>
    </xf>
    <xf numFmtId="4" fontId="17" fillId="5" borderId="32" xfId="0" applyNumberFormat="1" applyFont="1" applyFill="1" applyBorder="1" applyAlignment="1">
      <alignment horizontal="center" vertical="center" wrapText="1"/>
    </xf>
    <xf numFmtId="4" fontId="74" fillId="5" borderId="0" xfId="0" applyNumberFormat="1" applyFont="1" applyFill="1" applyAlignment="1">
      <alignment vertical="center" wrapText="1"/>
    </xf>
    <xf numFmtId="3" fontId="17" fillId="0" borderId="0" xfId="0" applyNumberFormat="1" applyFont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3" fontId="73" fillId="0" borderId="0" xfId="0" applyNumberFormat="1" applyFont="1" applyAlignment="1">
      <alignment vertical="center"/>
    </xf>
    <xf numFmtId="0" fontId="73" fillId="0" borderId="32" xfId="0" applyFont="1" applyBorder="1"/>
    <xf numFmtId="4" fontId="17" fillId="5" borderId="32" xfId="0" applyNumberFormat="1" applyFont="1" applyFill="1" applyBorder="1"/>
    <xf numFmtId="3" fontId="17" fillId="0" borderId="32" xfId="0" applyNumberFormat="1" applyFont="1" applyBorder="1"/>
    <xf numFmtId="0" fontId="17" fillId="0" borderId="32" xfId="0" applyFont="1" applyBorder="1"/>
    <xf numFmtId="0" fontId="17" fillId="0" borderId="0" xfId="0" applyFont="1" applyAlignment="1">
      <alignment horizontal="center" vertical="center" wrapText="1"/>
    </xf>
    <xf numFmtId="4" fontId="73" fillId="0" borderId="0" xfId="0" applyNumberFormat="1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3" fontId="73" fillId="0" borderId="0" xfId="0" applyNumberFormat="1" applyFont="1"/>
    <xf numFmtId="3" fontId="73" fillId="0" borderId="32" xfId="0" applyNumberFormat="1" applyFont="1" applyBorder="1" applyAlignment="1">
      <alignment horizontal="center"/>
    </xf>
    <xf numFmtId="4" fontId="17" fillId="0" borderId="32" xfId="0" applyNumberFormat="1" applyFont="1" applyBorder="1" applyAlignment="1">
      <alignment horizontal="center"/>
    </xf>
    <xf numFmtId="4" fontId="17" fillId="0" borderId="32" xfId="0" applyNumberFormat="1" applyFont="1" applyBorder="1"/>
    <xf numFmtId="49" fontId="75" fillId="0" borderId="0" xfId="0" applyNumberFormat="1" applyFont="1" applyAlignment="1">
      <alignment horizontal="center" vertical="center"/>
    </xf>
    <xf numFmtId="49" fontId="75" fillId="0" borderId="0" xfId="0" applyNumberFormat="1" applyFont="1" applyAlignment="1">
      <alignment horizontal="right" vertical="center" wrapText="1"/>
    </xf>
    <xf numFmtId="4" fontId="74" fillId="0" borderId="0" xfId="0" applyNumberFormat="1" applyFont="1" applyAlignment="1">
      <alignment vertical="center" wrapText="1"/>
    </xf>
    <xf numFmtId="4" fontId="75" fillId="0" borderId="0" xfId="0" applyNumberFormat="1" applyFont="1" applyAlignment="1">
      <alignment horizontal="center" vertical="center" wrapText="1"/>
    </xf>
    <xf numFmtId="3" fontId="73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4" fontId="17" fillId="0" borderId="0" xfId="0" applyNumberFormat="1" applyFont="1" applyBorder="1"/>
    <xf numFmtId="0" fontId="73" fillId="0" borderId="0" xfId="0" applyFont="1" applyBorder="1"/>
    <xf numFmtId="3" fontId="17" fillId="0" borderId="0" xfId="0" applyNumberFormat="1" applyFont="1" applyBorder="1"/>
    <xf numFmtId="4" fontId="17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76" fillId="0" borderId="0" xfId="0" applyFont="1" applyAlignment="1">
      <alignment horizontal="center"/>
    </xf>
    <xf numFmtId="49" fontId="16" fillId="0" borderId="32" xfId="0" applyNumberFormat="1" applyFont="1" applyBorder="1" applyAlignment="1">
      <alignment vertical="center" wrapText="1"/>
    </xf>
    <xf numFmtId="0" fontId="76" fillId="0" borderId="0" xfId="0" applyFont="1"/>
    <xf numFmtId="0" fontId="77" fillId="0" borderId="0" xfId="0" applyFont="1"/>
    <xf numFmtId="3" fontId="77" fillId="0" borderId="0" xfId="0" applyNumberFormat="1" applyFont="1"/>
    <xf numFmtId="4" fontId="77" fillId="0" borderId="0" xfId="0" applyNumberFormat="1" applyFont="1" applyAlignment="1">
      <alignment horizontal="center" vertical="center"/>
    </xf>
    <xf numFmtId="49" fontId="78" fillId="0" borderId="0" xfId="0" applyNumberFormat="1" applyFont="1" applyAlignment="1">
      <alignment horizontal="center" vertical="center" wrapText="1"/>
    </xf>
    <xf numFmtId="49" fontId="78" fillId="0" borderId="0" xfId="0" applyNumberFormat="1" applyFont="1" applyAlignment="1">
      <alignment vertical="center" wrapText="1"/>
    </xf>
    <xf numFmtId="0" fontId="78" fillId="0" borderId="0" xfId="0" applyFont="1"/>
    <xf numFmtId="0" fontId="79" fillId="0" borderId="0" xfId="0" applyFont="1"/>
    <xf numFmtId="4" fontId="79" fillId="0" borderId="0" xfId="0" applyNumberFormat="1" applyFont="1" applyAlignment="1">
      <alignment horizontal="center" vertical="center"/>
    </xf>
    <xf numFmtId="0" fontId="79" fillId="0" borderId="0" xfId="0" applyFont="1" applyAlignment="1">
      <alignment horizontal="center"/>
    </xf>
    <xf numFmtId="4" fontId="79" fillId="0" borderId="0" xfId="0" applyNumberFormat="1" applyFont="1"/>
    <xf numFmtId="1" fontId="39" fillId="4" borderId="32" xfId="3" applyNumberFormat="1" applyFont="1" applyFill="1" applyBorder="1"/>
    <xf numFmtId="1" fontId="39" fillId="2" borderId="32" xfId="3" applyNumberFormat="1" applyFont="1" applyFill="1" applyBorder="1"/>
    <xf numFmtId="1" fontId="39" fillId="0" borderId="32" xfId="3" applyNumberFormat="1" applyFont="1" applyBorder="1"/>
    <xf numFmtId="4" fontId="39" fillId="9" borderId="0" xfId="0" applyNumberFormat="1" applyFont="1" applyFill="1"/>
    <xf numFmtId="0" fontId="0" fillId="0" borderId="0" xfId="0" applyAlignment="1">
      <alignment horizontal="right"/>
    </xf>
    <xf numFmtId="4" fontId="49" fillId="0" borderId="32" xfId="0" applyNumberFormat="1" applyFont="1" applyBorder="1" applyAlignment="1">
      <alignment horizontal="center" vertical="center"/>
    </xf>
    <xf numFmtId="164" fontId="7" fillId="4" borderId="32" xfId="1" applyNumberFormat="1" applyFont="1" applyFill="1" applyBorder="1" applyAlignment="1">
      <alignment horizontal="center" vertical="center"/>
    </xf>
    <xf numFmtId="164" fontId="49" fillId="0" borderId="32" xfId="0" applyNumberFormat="1" applyFont="1" applyBorder="1" applyAlignment="1">
      <alignment horizontal="center" vertical="center"/>
    </xf>
    <xf numFmtId="0" fontId="29" fillId="4" borderId="32" xfId="0" applyFont="1" applyFill="1" applyBorder="1" applyAlignment="1">
      <alignment horizontal="center" vertical="center" wrapText="1"/>
    </xf>
    <xf numFmtId="4" fontId="29" fillId="4" borderId="32" xfId="0" applyNumberFormat="1" applyFont="1" applyFill="1" applyBorder="1" applyAlignment="1">
      <alignment horizontal="center" vertical="center" wrapText="1"/>
    </xf>
    <xf numFmtId="4" fontId="24" fillId="0" borderId="32" xfId="0" applyNumberFormat="1" applyFont="1" applyBorder="1" applyAlignment="1">
      <alignment horizontal="center" vertical="center" wrapText="1"/>
    </xf>
    <xf numFmtId="164" fontId="42" fillId="5" borderId="3" xfId="1" applyNumberFormat="1" applyFont="1" applyFill="1" applyBorder="1"/>
    <xf numFmtId="164" fontId="42" fillId="5" borderId="8" xfId="1" applyNumberFormat="1" applyFont="1" applyFill="1" applyBorder="1"/>
    <xf numFmtId="164" fontId="42" fillId="5" borderId="6" xfId="1" applyNumberFormat="1" applyFont="1" applyFill="1" applyBorder="1"/>
    <xf numFmtId="164" fontId="43" fillId="4" borderId="6" xfId="1" applyNumberFormat="1" applyFont="1" applyFill="1" applyBorder="1"/>
    <xf numFmtId="164" fontId="42" fillId="0" borderId="3" xfId="1" applyNumberFormat="1" applyFont="1" applyBorder="1"/>
    <xf numFmtId="164" fontId="42" fillId="0" borderId="6" xfId="1" applyNumberFormat="1" applyFont="1" applyBorder="1"/>
    <xf numFmtId="0" fontId="43" fillId="0" borderId="32" xfId="0" applyFont="1" applyBorder="1"/>
    <xf numFmtId="4" fontId="43" fillId="0" borderId="32" xfId="0" applyNumberFormat="1" applyFont="1" applyBorder="1" applyAlignment="1">
      <alignment horizontal="center"/>
    </xf>
    <xf numFmtId="4" fontId="43" fillId="0" borderId="32" xfId="0" applyNumberFormat="1" applyFont="1" applyBorder="1"/>
    <xf numFmtId="0" fontId="81" fillId="0" borderId="0" xfId="0" applyFont="1"/>
    <xf numFmtId="0" fontId="82" fillId="0" borderId="0" xfId="0" applyFont="1"/>
    <xf numFmtId="4" fontId="81" fillId="0" borderId="0" xfId="0" applyNumberFormat="1" applyFont="1"/>
    <xf numFmtId="4" fontId="83" fillId="0" borderId="0" xfId="2" applyNumberFormat="1" applyFont="1"/>
    <xf numFmtId="0" fontId="83" fillId="0" borderId="0" xfId="2" applyFont="1"/>
    <xf numFmtId="0" fontId="83" fillId="2" borderId="15" xfId="2" applyFont="1" applyFill="1" applyBorder="1" applyAlignment="1">
      <alignment horizontal="center" vertical="center"/>
    </xf>
    <xf numFmtId="2" fontId="83" fillId="2" borderId="16" xfId="2" applyNumberFormat="1" applyFont="1" applyFill="1" applyBorder="1" applyAlignment="1">
      <alignment horizontal="center" vertical="center"/>
    </xf>
    <xf numFmtId="2" fontId="83" fillId="2" borderId="17" xfId="2" applyNumberFormat="1" applyFont="1" applyFill="1" applyBorder="1" applyAlignment="1">
      <alignment horizontal="center" vertical="center"/>
    </xf>
    <xf numFmtId="0" fontId="83" fillId="0" borderId="0" xfId="2" applyFont="1" applyAlignment="1">
      <alignment horizontal="center"/>
    </xf>
    <xf numFmtId="0" fontId="83" fillId="0" borderId="18" xfId="2" applyFont="1" applyBorder="1"/>
    <xf numFmtId="3" fontId="83" fillId="0" borderId="1" xfId="2" applyNumberFormat="1" applyFont="1" applyBorder="1"/>
    <xf numFmtId="4" fontId="83" fillId="0" borderId="1" xfId="2" applyNumberFormat="1" applyFont="1" applyBorder="1"/>
    <xf numFmtId="164" fontId="83" fillId="0" borderId="19" xfId="2" applyNumberFormat="1" applyFont="1" applyBorder="1"/>
    <xf numFmtId="0" fontId="83" fillId="0" borderId="20" xfId="2" applyFont="1" applyBorder="1" applyAlignment="1">
      <alignment horizontal="right"/>
    </xf>
    <xf numFmtId="3" fontId="83" fillId="0" borderId="3" xfId="2" applyNumberFormat="1" applyFont="1" applyBorder="1"/>
    <xf numFmtId="4" fontId="83" fillId="0" borderId="3" xfId="2" applyNumberFormat="1" applyFont="1" applyBorder="1"/>
    <xf numFmtId="164" fontId="83" fillId="0" borderId="21" xfId="2" applyNumberFormat="1" applyFont="1" applyBorder="1"/>
    <xf numFmtId="0" fontId="83" fillId="0" borderId="20" xfId="2" applyFont="1" applyBorder="1"/>
    <xf numFmtId="3" fontId="83" fillId="0" borderId="13" xfId="2" applyNumberFormat="1" applyFont="1" applyBorder="1"/>
    <xf numFmtId="4" fontId="83" fillId="0" borderId="13" xfId="2" applyNumberFormat="1" applyFont="1" applyBorder="1"/>
    <xf numFmtId="164" fontId="83" fillId="0" borderId="38" xfId="2" applyNumberFormat="1" applyFont="1" applyBorder="1"/>
    <xf numFmtId="164" fontId="83" fillId="0" borderId="16" xfId="2" applyNumberFormat="1" applyFont="1" applyBorder="1"/>
    <xf numFmtId="164" fontId="83" fillId="0" borderId="17" xfId="2" applyNumberFormat="1" applyFont="1" applyBorder="1"/>
    <xf numFmtId="0" fontId="83" fillId="0" borderId="3" xfId="2" applyFont="1" applyBorder="1"/>
    <xf numFmtId="164" fontId="83" fillId="0" borderId="3" xfId="2" applyNumberFormat="1" applyFont="1" applyBorder="1"/>
    <xf numFmtId="164" fontId="83" fillId="0" borderId="7" xfId="2" applyNumberFormat="1" applyFont="1" applyBorder="1"/>
    <xf numFmtId="164" fontId="83" fillId="0" borderId="22" xfId="2" applyNumberFormat="1" applyFont="1" applyBorder="1"/>
    <xf numFmtId="0" fontId="83" fillId="2" borderId="15" xfId="2" applyFont="1" applyFill="1" applyBorder="1"/>
    <xf numFmtId="0" fontId="83" fillId="2" borderId="16" xfId="2" applyFont="1" applyFill="1" applyBorder="1"/>
    <xf numFmtId="0" fontId="83" fillId="0" borderId="1" xfId="2" applyFont="1" applyBorder="1"/>
    <xf numFmtId="2" fontId="83" fillId="0" borderId="1" xfId="2" applyNumberFormat="1" applyFont="1" applyBorder="1"/>
    <xf numFmtId="2" fontId="83" fillId="0" borderId="19" xfId="2" applyNumberFormat="1" applyFont="1" applyBorder="1"/>
    <xf numFmtId="0" fontId="83" fillId="0" borderId="23" xfId="2" applyFont="1" applyBorder="1"/>
    <xf numFmtId="0" fontId="83" fillId="0" borderId="7" xfId="2" applyFont="1" applyBorder="1"/>
    <xf numFmtId="2" fontId="83" fillId="0" borderId="22" xfId="2" applyNumberFormat="1" applyFont="1" applyBorder="1"/>
    <xf numFmtId="2" fontId="83" fillId="0" borderId="17" xfId="2" applyNumberFormat="1" applyFont="1" applyBorder="1"/>
    <xf numFmtId="2" fontId="83" fillId="0" borderId="39" xfId="2" applyNumberFormat="1" applyFont="1" applyBorder="1"/>
    <xf numFmtId="170" fontId="84" fillId="0" borderId="24" xfId="2" applyNumberFormat="1" applyFont="1" applyBorder="1" applyAlignment="1">
      <alignment horizontal="right" vertical="center"/>
    </xf>
    <xf numFmtId="164" fontId="84" fillId="0" borderId="17" xfId="2" applyNumberFormat="1" applyFont="1" applyBorder="1" applyAlignment="1">
      <alignment horizontal="right" vertical="center"/>
    </xf>
    <xf numFmtId="164" fontId="84" fillId="10" borderId="17" xfId="2" applyNumberFormat="1" applyFont="1" applyFill="1" applyBorder="1" applyAlignment="1">
      <alignment horizontal="right" vertical="center"/>
    </xf>
    <xf numFmtId="9" fontId="83" fillId="0" borderId="0" xfId="2" applyNumberFormat="1" applyFont="1"/>
    <xf numFmtId="168" fontId="83" fillId="0" borderId="0" xfId="2" applyNumberFormat="1" applyFont="1"/>
    <xf numFmtId="4" fontId="84" fillId="0" borderId="0" xfId="2" applyNumberFormat="1" applyFont="1" applyAlignment="1">
      <alignment horizontal="right"/>
    </xf>
    <xf numFmtId="49" fontId="73" fillId="0" borderId="0" xfId="0" applyNumberFormat="1" applyFont="1" applyAlignment="1">
      <alignment vertical="center"/>
    </xf>
    <xf numFmtId="4" fontId="73" fillId="0" borderId="0" xfId="0" applyNumberFormat="1" applyFont="1" applyAlignment="1">
      <alignment horizontal="right" vertical="center" wrapText="1"/>
    </xf>
    <xf numFmtId="49" fontId="73" fillId="0" borderId="0" xfId="0" applyNumberFormat="1" applyFont="1" applyAlignment="1">
      <alignment vertical="center" wrapText="1"/>
    </xf>
    <xf numFmtId="167" fontId="23" fillId="0" borderId="32" xfId="3" applyNumberFormat="1" applyFont="1" applyBorder="1" applyAlignment="1">
      <alignment horizontal="center" vertical="center" wrapText="1"/>
    </xf>
    <xf numFmtId="167" fontId="8" fillId="0" borderId="32" xfId="3" applyNumberFormat="1" applyFont="1" applyBorder="1" applyAlignment="1">
      <alignment horizontal="center" vertical="center" wrapText="1"/>
    </xf>
    <xf numFmtId="2" fontId="8" fillId="0" borderId="32" xfId="3" applyNumberFormat="1" applyFont="1" applyBorder="1" applyAlignment="1">
      <alignment horizontal="center" vertical="center" wrapText="1"/>
    </xf>
    <xf numFmtId="167" fontId="23" fillId="8" borderId="32" xfId="3" applyNumberFormat="1" applyFont="1" applyFill="1" applyBorder="1" applyAlignment="1">
      <alignment horizontal="center" vertical="center" wrapText="1"/>
    </xf>
    <xf numFmtId="167" fontId="23" fillId="8" borderId="32" xfId="3" applyNumberFormat="1" applyFont="1" applyFill="1" applyBorder="1" applyAlignment="1">
      <alignment horizontal="right" vertical="center" wrapText="1"/>
    </xf>
    <xf numFmtId="4" fontId="23" fillId="8" borderId="32" xfId="3" applyNumberFormat="1" applyFont="1" applyFill="1" applyBorder="1" applyAlignment="1">
      <alignment horizontal="right" vertical="center" wrapText="1"/>
    </xf>
    <xf numFmtId="4" fontId="23" fillId="0" borderId="32" xfId="3" applyNumberFormat="1" applyFont="1" applyBorder="1" applyAlignment="1">
      <alignment horizontal="right" vertical="center" wrapText="1"/>
    </xf>
    <xf numFmtId="167" fontId="23" fillId="0" borderId="32" xfId="3" applyNumberFormat="1" applyFont="1" applyBorder="1" applyAlignment="1">
      <alignment horizontal="right" vertical="center" wrapText="1"/>
    </xf>
    <xf numFmtId="4" fontId="8" fillId="0" borderId="32" xfId="3" applyNumberFormat="1" applyFont="1" applyBorder="1" applyAlignment="1">
      <alignment horizontal="center" vertical="center" wrapText="1"/>
    </xf>
    <xf numFmtId="1" fontId="23" fillId="7" borderId="32" xfId="3" applyNumberFormat="1" applyFont="1" applyFill="1" applyBorder="1"/>
    <xf numFmtId="1" fontId="8" fillId="7" borderId="32" xfId="3" applyNumberFormat="1" applyFont="1" applyFill="1" applyBorder="1" applyAlignment="1">
      <alignment horizontal="center"/>
    </xf>
    <xf numFmtId="1" fontId="23" fillId="7" borderId="32" xfId="3" applyNumberFormat="1" applyFont="1" applyFill="1" applyBorder="1" applyAlignment="1">
      <alignment horizontal="center" vertical="center" wrapText="1"/>
    </xf>
    <xf numFmtId="1" fontId="23" fillId="7" borderId="32" xfId="3" applyNumberFormat="1" applyFont="1" applyFill="1" applyBorder="1" applyAlignment="1">
      <alignment horizontal="center"/>
    </xf>
    <xf numFmtId="1" fontId="85" fillId="7" borderId="32" xfId="3" applyNumberFormat="1" applyFont="1" applyFill="1" applyBorder="1"/>
    <xf numFmtId="1" fontId="86" fillId="4" borderId="32" xfId="3" applyNumberFormat="1" applyFont="1" applyFill="1" applyBorder="1" applyAlignment="1">
      <alignment horizontal="center"/>
    </xf>
    <xf numFmtId="1" fontId="86" fillId="7" borderId="32" xfId="3" applyNumberFormat="1" applyFont="1" applyFill="1" applyBorder="1" applyAlignment="1">
      <alignment horizontal="center"/>
    </xf>
    <xf numFmtId="3" fontId="23" fillId="2" borderId="32" xfId="3" applyNumberFormat="1" applyFont="1" applyFill="1" applyBorder="1"/>
    <xf numFmtId="1" fontId="23" fillId="2" borderId="32" xfId="3" applyNumberFormat="1" applyFont="1" applyFill="1" applyBorder="1" applyAlignment="1">
      <alignment horizontal="center"/>
    </xf>
    <xf numFmtId="3" fontId="23" fillId="0" borderId="32" xfId="3" applyNumberFormat="1" applyFont="1" applyBorder="1"/>
    <xf numFmtId="167" fontId="8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7" fontId="28" fillId="0" borderId="0" xfId="0" applyNumberFormat="1" applyFont="1"/>
    <xf numFmtId="167" fontId="23" fillId="0" borderId="0" xfId="0" applyNumberFormat="1" applyFont="1"/>
    <xf numFmtId="4" fontId="27" fillId="0" borderId="0" xfId="0" applyNumberFormat="1" applyFont="1" applyAlignment="1">
      <alignment horizontal="center"/>
    </xf>
    <xf numFmtId="4" fontId="28" fillId="0" borderId="0" xfId="0" applyNumberFormat="1" applyFont="1" applyAlignment="1">
      <alignment horizontal="center"/>
    </xf>
    <xf numFmtId="167" fontId="28" fillId="0" borderId="0" xfId="0" applyNumberFormat="1" applyFont="1" applyAlignment="1">
      <alignment horizontal="center"/>
    </xf>
    <xf numFmtId="4" fontId="8" fillId="0" borderId="0" xfId="0" applyNumberFormat="1" applyFont="1"/>
    <xf numFmtId="4" fontId="28" fillId="0" borderId="0" xfId="0" applyNumberFormat="1" applyFont="1"/>
    <xf numFmtId="3" fontId="39" fillId="7" borderId="32" xfId="3" applyNumberFormat="1" applyFont="1" applyFill="1" applyBorder="1"/>
    <xf numFmtId="1" fontId="39" fillId="2" borderId="32" xfId="3" applyNumberFormat="1" applyFont="1" applyFill="1" applyBorder="1" applyAlignment="1">
      <alignment horizontal="right"/>
    </xf>
    <xf numFmtId="4" fontId="42" fillId="0" borderId="0" xfId="0" applyNumberFormat="1" applyFont="1" applyAlignment="1">
      <alignment horizontal="center"/>
    </xf>
    <xf numFmtId="1" fontId="39" fillId="2" borderId="35" xfId="3" applyNumberFormat="1" applyFont="1" applyFill="1" applyBorder="1" applyAlignment="1">
      <alignment horizontal="center"/>
    </xf>
    <xf numFmtId="4" fontId="23" fillId="2" borderId="35" xfId="3" applyNumberFormat="1" applyFont="1" applyFill="1" applyBorder="1" applyAlignment="1">
      <alignment horizontal="right"/>
    </xf>
    <xf numFmtId="0" fontId="43" fillId="0" borderId="3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4" fontId="43" fillId="0" borderId="3" xfId="0" applyNumberFormat="1" applyFont="1" applyBorder="1" applyAlignment="1">
      <alignment horizontal="center"/>
    </xf>
    <xf numFmtId="0" fontId="87" fillId="0" borderId="0" xfId="0" applyFont="1" applyAlignment="1">
      <alignment horizontal="right"/>
    </xf>
    <xf numFmtId="3" fontId="88" fillId="0" borderId="0" xfId="0" applyNumberFormat="1" applyFont="1" applyAlignment="1">
      <alignment horizontal="right"/>
    </xf>
    <xf numFmtId="3" fontId="88" fillId="0" borderId="0" xfId="0" applyNumberFormat="1" applyFont="1"/>
    <xf numFmtId="3" fontId="89" fillId="0" borderId="0" xfId="0" applyNumberFormat="1" applyFont="1"/>
    <xf numFmtId="0" fontId="90" fillId="0" borderId="0" xfId="0" applyFont="1"/>
    <xf numFmtId="167" fontId="39" fillId="0" borderId="0" xfId="0" applyNumberFormat="1" applyFont="1"/>
    <xf numFmtId="0" fontId="39" fillId="0" borderId="0" xfId="0" applyFont="1"/>
    <xf numFmtId="9" fontId="39" fillId="0" borderId="0" xfId="0" applyNumberFormat="1" applyFont="1" applyAlignment="1">
      <alignment horizontal="center"/>
    </xf>
    <xf numFmtId="167" fontId="43" fillId="0" borderId="0" xfId="0" applyNumberFormat="1" applyFont="1"/>
    <xf numFmtId="4" fontId="9" fillId="0" borderId="0" xfId="0" applyNumberFormat="1" applyFont="1"/>
    <xf numFmtId="4" fontId="9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9" fillId="0" borderId="0" xfId="0" applyFont="1" applyAlignment="1">
      <alignment horizontal="right"/>
    </xf>
    <xf numFmtId="0" fontId="88" fillId="0" borderId="0" xfId="0" applyFont="1"/>
    <xf numFmtId="0" fontId="0" fillId="0" borderId="0" xfId="0" applyFont="1"/>
    <xf numFmtId="4" fontId="17" fillId="0" borderId="0" xfId="0" applyNumberFormat="1" applyFont="1" applyAlignment="1">
      <alignment horizontal="right"/>
    </xf>
    <xf numFmtId="4" fontId="0" fillId="0" borderId="0" xfId="0" applyNumberFormat="1" applyFont="1"/>
    <xf numFmtId="0" fontId="83" fillId="0" borderId="23" xfId="2" applyFont="1" applyBorder="1" applyAlignment="1">
      <alignment horizontal="left"/>
    </xf>
    <xf numFmtId="0" fontId="83" fillId="0" borderId="7" xfId="2" applyFont="1" applyBorder="1" applyAlignment="1">
      <alignment horizontal="left"/>
    </xf>
    <xf numFmtId="0" fontId="84" fillId="0" borderId="15" xfId="2" applyFont="1" applyBorder="1" applyAlignment="1">
      <alignment horizontal="center" vertical="center" wrapText="1"/>
    </xf>
    <xf numFmtId="0" fontId="84" fillId="0" borderId="16" xfId="2" applyFont="1" applyBorder="1" applyAlignment="1">
      <alignment horizontal="center" vertical="center" wrapText="1"/>
    </xf>
    <xf numFmtId="0" fontId="83" fillId="0" borderId="0" xfId="2" applyFont="1" applyAlignment="1">
      <alignment horizontal="center" vertical="center" wrapText="1"/>
    </xf>
    <xf numFmtId="0" fontId="83" fillId="2" borderId="15" xfId="2" applyFont="1" applyFill="1" applyBorder="1" applyAlignment="1">
      <alignment horizontal="left"/>
    </xf>
    <xf numFmtId="0" fontId="83" fillId="2" borderId="16" xfId="2" applyFont="1" applyFill="1" applyBorder="1" applyAlignment="1">
      <alignment horizontal="left"/>
    </xf>
    <xf numFmtId="0" fontId="83" fillId="0" borderId="25" xfId="2" applyFont="1" applyBorder="1" applyAlignment="1">
      <alignment horizontal="left"/>
    </xf>
    <xf numFmtId="0" fontId="83" fillId="0" borderId="26" xfId="2" applyFont="1" applyBorder="1" applyAlignment="1">
      <alignment horizontal="left"/>
    </xf>
    <xf numFmtId="0" fontId="5" fillId="0" borderId="0" xfId="2" applyFont="1" applyAlignment="1">
      <alignment horizontal="center" vertical="center" wrapText="1"/>
    </xf>
    <xf numFmtId="0" fontId="47" fillId="0" borderId="15" xfId="2" applyFont="1" applyBorder="1" applyAlignment="1">
      <alignment horizontal="center" vertical="center" wrapText="1"/>
    </xf>
    <xf numFmtId="0" fontId="47" fillId="0" borderId="16" xfId="2" applyFont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left"/>
    </xf>
    <xf numFmtId="0" fontId="5" fillId="2" borderId="16" xfId="2" applyFont="1" applyFill="1" applyBorder="1" applyAlignment="1">
      <alignment horizontal="left"/>
    </xf>
    <xf numFmtId="0" fontId="5" fillId="0" borderId="25" xfId="2" applyFont="1" applyBorder="1" applyAlignment="1">
      <alignment horizontal="left"/>
    </xf>
    <xf numFmtId="0" fontId="5" fillId="0" borderId="26" xfId="2" applyFont="1" applyBorder="1" applyAlignment="1">
      <alignment horizontal="left"/>
    </xf>
    <xf numFmtId="0" fontId="5" fillId="0" borderId="23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49" fontId="5" fillId="0" borderId="31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4" fontId="39" fillId="0" borderId="33" xfId="0" applyNumberFormat="1" applyFont="1" applyBorder="1" applyAlignment="1">
      <alignment horizontal="center" vertical="center" wrapText="1"/>
    </xf>
    <xf numFmtId="3" fontId="39" fillId="3" borderId="36" xfId="0" applyNumberFormat="1" applyFont="1" applyFill="1" applyBorder="1" applyAlignment="1">
      <alignment vertical="center" wrapText="1"/>
    </xf>
    <xf numFmtId="3" fontId="39" fillId="3" borderId="37" xfId="0" applyNumberFormat="1" applyFont="1" applyFill="1" applyBorder="1" applyAlignment="1">
      <alignment vertical="center" wrapText="1"/>
    </xf>
    <xf numFmtId="3" fontId="7" fillId="0" borderId="32" xfId="0" applyNumberFormat="1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49" fontId="42" fillId="3" borderId="32" xfId="0" applyNumberFormat="1" applyFont="1" applyFill="1" applyBorder="1" applyAlignment="1">
      <alignment horizontal="center" vertical="center" wrapText="1"/>
    </xf>
    <xf numFmtId="49" fontId="42" fillId="3" borderId="33" xfId="0" applyNumberFormat="1" applyFont="1" applyFill="1" applyBorder="1" applyAlignment="1">
      <alignment horizontal="center" vertical="center" wrapText="1"/>
    </xf>
    <xf numFmtId="49" fontId="43" fillId="3" borderId="32" xfId="0" applyNumberFormat="1" applyFont="1" applyFill="1" applyBorder="1" applyAlignment="1">
      <alignment horizontal="center" vertical="center" wrapText="1"/>
    </xf>
    <xf numFmtId="49" fontId="42" fillId="3" borderId="32" xfId="0" applyNumberFormat="1" applyFont="1" applyFill="1" applyBorder="1" applyAlignment="1">
      <alignment horizontal="center" vertical="center" textRotation="90" wrapText="1"/>
    </xf>
    <xf numFmtId="49" fontId="42" fillId="3" borderId="33" xfId="0" applyNumberFormat="1" applyFont="1" applyFill="1" applyBorder="1" applyAlignment="1">
      <alignment horizontal="center" vertical="center" textRotation="90" wrapText="1"/>
    </xf>
    <xf numFmtId="3" fontId="16" fillId="0" borderId="0" xfId="0" applyNumberFormat="1" applyFont="1" applyAlignment="1">
      <alignment horizontal="center" vertical="center" wrapText="1"/>
    </xf>
    <xf numFmtId="4" fontId="17" fillId="0" borderId="33" xfId="0" applyNumberFormat="1" applyFont="1" applyBorder="1" applyAlignment="1">
      <alignment horizontal="center" vertical="center" wrapText="1"/>
    </xf>
    <xf numFmtId="3" fontId="17" fillId="3" borderId="36" xfId="0" applyNumberFormat="1" applyFont="1" applyFill="1" applyBorder="1" applyAlignment="1">
      <alignment vertical="center" wrapText="1"/>
    </xf>
    <xf numFmtId="3" fontId="17" fillId="3" borderId="37" xfId="0" applyNumberFormat="1" applyFont="1" applyFill="1" applyBorder="1" applyAlignment="1">
      <alignment vertical="center" wrapText="1"/>
    </xf>
    <xf numFmtId="3" fontId="73" fillId="0" borderId="32" xfId="0" applyNumberFormat="1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49" fontId="16" fillId="3" borderId="32" xfId="0" applyNumberFormat="1" applyFont="1" applyFill="1" applyBorder="1" applyAlignment="1">
      <alignment horizontal="center" vertical="center" wrapText="1"/>
    </xf>
    <xf numFmtId="49" fontId="16" fillId="3" borderId="33" xfId="0" applyNumberFormat="1" applyFont="1" applyFill="1" applyBorder="1" applyAlignment="1">
      <alignment horizontal="center" vertical="center" wrapText="1"/>
    </xf>
    <xf numFmtId="49" fontId="19" fillId="3" borderId="32" xfId="0" applyNumberFormat="1" applyFont="1" applyFill="1" applyBorder="1" applyAlignment="1">
      <alignment horizontal="center" vertical="center" wrapText="1"/>
    </xf>
    <xf numFmtId="49" fontId="16" fillId="3" borderId="32" xfId="0" applyNumberFormat="1" applyFont="1" applyFill="1" applyBorder="1" applyAlignment="1">
      <alignment horizontal="center" vertical="center" textRotation="90" wrapText="1"/>
    </xf>
    <xf numFmtId="49" fontId="69" fillId="3" borderId="32" xfId="0" applyNumberFormat="1" applyFont="1" applyFill="1" applyBorder="1" applyAlignment="1">
      <alignment horizontal="center" vertical="center" textRotation="90" wrapText="1"/>
    </xf>
    <xf numFmtId="49" fontId="69" fillId="3" borderId="33" xfId="0" applyNumberFormat="1" applyFont="1" applyFill="1" applyBorder="1" applyAlignment="1">
      <alignment horizontal="center" vertical="center" textRotation="90" wrapText="1"/>
    </xf>
    <xf numFmtId="164" fontId="29" fillId="5" borderId="30" xfId="1" applyNumberFormat="1" applyFont="1" applyFill="1" applyBorder="1" applyAlignment="1">
      <alignment horizontal="center" vertical="center" wrapText="1"/>
    </xf>
    <xf numFmtId="164" fontId="29" fillId="5" borderId="31" xfId="1" applyNumberFormat="1" applyFont="1" applyFill="1" applyBorder="1" applyAlignment="1">
      <alignment horizontal="center" vertical="center" wrapText="1"/>
    </xf>
    <xf numFmtId="164" fontId="29" fillId="5" borderId="26" xfId="1" applyNumberFormat="1" applyFont="1" applyFill="1" applyBorder="1" applyAlignment="1">
      <alignment horizontal="center" vertical="center" wrapText="1"/>
    </xf>
    <xf numFmtId="164" fontId="29" fillId="2" borderId="12" xfId="1" applyNumberFormat="1" applyFont="1" applyFill="1" applyBorder="1" applyAlignment="1">
      <alignment horizontal="center" vertical="center" wrapText="1"/>
    </xf>
    <xf numFmtId="164" fontId="29" fillId="2" borderId="41" xfId="1" applyNumberFormat="1" applyFont="1" applyFill="1" applyBorder="1" applyAlignment="1">
      <alignment horizontal="center" vertical="center" wrapText="1"/>
    </xf>
    <xf numFmtId="164" fontId="29" fillId="5" borderId="12" xfId="1" applyNumberFormat="1" applyFont="1" applyFill="1" applyBorder="1" applyAlignment="1">
      <alignment horizontal="center" vertical="center" wrapText="1"/>
    </xf>
    <xf numFmtId="164" fontId="29" fillId="5" borderId="41" xfId="1" applyNumberFormat="1" applyFont="1" applyFill="1" applyBorder="1" applyAlignment="1">
      <alignment horizontal="center" vertical="center" wrapText="1"/>
    </xf>
    <xf numFmtId="164" fontId="29" fillId="5" borderId="10" xfId="1" applyNumberFormat="1" applyFont="1" applyFill="1" applyBorder="1" applyAlignment="1">
      <alignment horizontal="center" vertical="center" wrapText="1"/>
    </xf>
    <xf numFmtId="164" fontId="29" fillId="2" borderId="10" xfId="1" applyNumberFormat="1" applyFont="1" applyFill="1" applyBorder="1" applyAlignment="1">
      <alignment horizontal="center" vertical="center" wrapText="1"/>
    </xf>
    <xf numFmtId="4" fontId="62" fillId="0" borderId="32" xfId="0" applyNumberFormat="1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29" fillId="5" borderId="32" xfId="0" applyFont="1" applyFill="1" applyBorder="1" applyAlignment="1">
      <alignment horizontal="left" vertical="center" wrapText="1"/>
    </xf>
    <xf numFmtId="166" fontId="29" fillId="4" borderId="33" xfId="0" applyNumberFormat="1" applyFont="1" applyFill="1" applyBorder="1" applyAlignment="1">
      <alignment horizontal="center" vertical="center" wrapText="1"/>
    </xf>
    <xf numFmtId="166" fontId="29" fillId="4" borderId="34" xfId="0" applyNumberFormat="1" applyFont="1" applyFill="1" applyBorder="1" applyAlignment="1">
      <alignment horizontal="center" vertical="center" wrapText="1"/>
    </xf>
    <xf numFmtId="0" fontId="29" fillId="5" borderId="33" xfId="0" applyFont="1" applyFill="1" applyBorder="1" applyAlignment="1">
      <alignment horizontal="center" vertical="center" wrapText="1"/>
    </xf>
    <xf numFmtId="0" fontId="29" fillId="5" borderId="34" xfId="0" applyFont="1" applyFill="1" applyBorder="1" applyAlignment="1">
      <alignment horizontal="center" vertical="center" wrapText="1"/>
    </xf>
    <xf numFmtId="4" fontId="29" fillId="0" borderId="33" xfId="0" applyNumberFormat="1" applyFont="1" applyBorder="1" applyAlignment="1">
      <alignment horizontal="center" vertical="center" wrapText="1"/>
    </xf>
    <xf numFmtId="4" fontId="29" fillId="0" borderId="40" xfId="0" applyNumberFormat="1" applyFont="1" applyBorder="1" applyAlignment="1">
      <alignment horizontal="center" vertical="center" wrapText="1"/>
    </xf>
    <xf numFmtId="4" fontId="29" fillId="0" borderId="34" xfId="0" applyNumberFormat="1" applyFont="1" applyBorder="1" applyAlignment="1">
      <alignment horizontal="center" vertical="center" wrapText="1"/>
    </xf>
    <xf numFmtId="0" fontId="42" fillId="4" borderId="32" xfId="0" applyFont="1" applyFill="1" applyBorder="1" applyAlignment="1">
      <alignment horizontal="center" vertical="center" wrapText="1"/>
    </xf>
    <xf numFmtId="167" fontId="47" fillId="0" borderId="0" xfId="0" applyNumberFormat="1" applyFont="1" applyAlignment="1">
      <alignment horizontal="center"/>
    </xf>
    <xf numFmtId="167" fontId="39" fillId="6" borderId="0" xfId="0" applyNumberFormat="1" applyFont="1" applyFill="1"/>
    <xf numFmtId="4" fontId="39" fillId="6" borderId="0" xfId="0" applyNumberFormat="1" applyFont="1" applyFill="1"/>
    <xf numFmtId="4" fontId="39" fillId="0" borderId="0" xfId="0" applyNumberFormat="1" applyFont="1"/>
    <xf numFmtId="4" fontId="7" fillId="0" borderId="0" xfId="0" applyNumberFormat="1" applyFont="1"/>
    <xf numFmtId="4" fontId="5" fillId="0" borderId="0" xfId="0" applyNumberFormat="1" applyFont="1"/>
    <xf numFmtId="0" fontId="7" fillId="0" borderId="0" xfId="0" applyFont="1" applyAlignment="1">
      <alignment horizontal="left"/>
    </xf>
    <xf numFmtId="0" fontId="5" fillId="0" borderId="0" xfId="0" applyFont="1"/>
  </cellXfs>
  <cellStyles count="5">
    <cellStyle name="Dziesiętny" xfId="4" builtinId="3"/>
    <cellStyle name="Excel Built-in Normal" xfId="3" xr:uid="{6A051A26-3100-4CB8-99D8-9258624A336A}"/>
    <cellStyle name="Normalny" xfId="0" builtinId="0"/>
    <cellStyle name="Normalny 3" xfId="1" xr:uid="{00000000-0005-0000-0000-000001000000}"/>
    <cellStyle name="Normalny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8"/>
  <sheetViews>
    <sheetView workbookViewId="0">
      <selection activeCell="E26" sqref="A1:E26"/>
    </sheetView>
  </sheetViews>
  <sheetFormatPr defaultRowHeight="15" x14ac:dyDescent="0.25"/>
  <cols>
    <col min="1" max="1" width="18.5703125" style="39" customWidth="1"/>
    <col min="2" max="2" width="20.42578125" style="39" customWidth="1"/>
    <col min="3" max="3" width="20.85546875" style="39" customWidth="1"/>
    <col min="4" max="4" width="17.7109375" style="39" customWidth="1"/>
    <col min="5" max="5" width="20.28515625" style="38" bestFit="1" customWidth="1"/>
    <col min="6" max="6" width="13.42578125" style="38" customWidth="1"/>
    <col min="7" max="7" width="18.5703125" style="432" hidden="1" customWidth="1"/>
    <col min="8" max="8" width="20.42578125" style="432" hidden="1" customWidth="1"/>
    <col min="9" max="9" width="20.85546875" style="432" hidden="1" customWidth="1"/>
    <col min="10" max="10" width="17.7109375" style="432" hidden="1" customWidth="1"/>
    <col min="11" max="11" width="20.28515625" style="431" hidden="1" customWidth="1"/>
    <col min="12" max="12" width="0" style="432" hidden="1" customWidth="1"/>
    <col min="13" max="13" width="18.5703125" style="432" hidden="1" customWidth="1"/>
    <col min="14" max="14" width="19" style="432" hidden="1" customWidth="1"/>
    <col min="15" max="15" width="20" style="432" hidden="1" customWidth="1"/>
    <col min="16" max="16" width="17.7109375" style="432" hidden="1" customWidth="1"/>
    <col min="17" max="17" width="19.28515625" style="431" hidden="1" customWidth="1"/>
    <col min="18" max="18" width="0" style="432" hidden="1" customWidth="1"/>
    <col min="19" max="19" width="18.5703125" style="432" hidden="1" customWidth="1"/>
    <col min="20" max="20" width="19" style="432" hidden="1" customWidth="1"/>
    <col min="21" max="21" width="20" style="432" hidden="1" customWidth="1"/>
    <col min="22" max="22" width="17.7109375" style="432" hidden="1" customWidth="1"/>
    <col min="23" max="23" width="19.28515625" style="431" hidden="1" customWidth="1"/>
    <col min="24" max="41" width="0" style="432" hidden="1" customWidth="1"/>
    <col min="42" max="16384" width="9.140625" style="39"/>
  </cols>
  <sheetData>
    <row r="1" spans="1:41" ht="42" customHeight="1" x14ac:dyDescent="0.25">
      <c r="A1" s="538" t="s">
        <v>205</v>
      </c>
      <c r="B1" s="538"/>
      <c r="C1" s="538"/>
      <c r="D1" s="538"/>
      <c r="G1" s="533" t="s">
        <v>173</v>
      </c>
      <c r="H1" s="533"/>
      <c r="I1" s="533"/>
      <c r="J1" s="533"/>
      <c r="M1" s="533" t="s">
        <v>174</v>
      </c>
      <c r="N1" s="533"/>
      <c r="O1" s="533"/>
      <c r="P1" s="533"/>
      <c r="S1" s="533" t="s">
        <v>175</v>
      </c>
      <c r="T1" s="533"/>
      <c r="U1" s="533"/>
      <c r="V1" s="533"/>
    </row>
    <row r="2" spans="1:41" ht="15.75" thickBot="1" x14ac:dyDescent="0.3"/>
    <row r="3" spans="1:41" s="201" customFormat="1" ht="22.5" customHeight="1" thickTop="1" thickBot="1" x14ac:dyDescent="0.3">
      <c r="A3" s="123" t="s">
        <v>11</v>
      </c>
      <c r="B3" s="124" t="s">
        <v>206</v>
      </c>
      <c r="C3" s="124" t="s">
        <v>24</v>
      </c>
      <c r="D3" s="125" t="s">
        <v>113</v>
      </c>
      <c r="E3" s="125" t="s">
        <v>172</v>
      </c>
      <c r="F3" s="200"/>
      <c r="G3" s="433" t="s">
        <v>11</v>
      </c>
      <c r="H3" s="434" t="s">
        <v>125</v>
      </c>
      <c r="I3" s="434" t="s">
        <v>24</v>
      </c>
      <c r="J3" s="435" t="s">
        <v>113</v>
      </c>
      <c r="K3" s="435" t="s">
        <v>112</v>
      </c>
      <c r="L3" s="436"/>
      <c r="M3" s="433" t="s">
        <v>11</v>
      </c>
      <c r="N3" s="434" t="s">
        <v>150</v>
      </c>
      <c r="O3" s="434" t="s">
        <v>24</v>
      </c>
      <c r="P3" s="435" t="s">
        <v>113</v>
      </c>
      <c r="Q3" s="435" t="s">
        <v>112</v>
      </c>
      <c r="R3" s="436"/>
      <c r="S3" s="433" t="s">
        <v>11</v>
      </c>
      <c r="T3" s="434" t="s">
        <v>157</v>
      </c>
      <c r="U3" s="434" t="s">
        <v>24</v>
      </c>
      <c r="V3" s="435" t="s">
        <v>113</v>
      </c>
      <c r="W3" s="435" t="s">
        <v>112</v>
      </c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</row>
    <row r="4" spans="1:41" ht="22.5" customHeight="1" thickTop="1" x14ac:dyDescent="0.25">
      <c r="A4" s="126">
        <v>75085</v>
      </c>
      <c r="B4" s="127"/>
      <c r="C4" s="128">
        <v>0</v>
      </c>
      <c r="D4" s="251"/>
      <c r="E4" s="251"/>
      <c r="G4" s="437">
        <v>75085</v>
      </c>
      <c r="H4" s="438"/>
      <c r="I4" s="439">
        <v>0</v>
      </c>
      <c r="J4" s="440"/>
      <c r="K4" s="440"/>
      <c r="M4" s="437">
        <v>75085</v>
      </c>
      <c r="N4" s="438"/>
      <c r="O4" s="439">
        <v>0</v>
      </c>
      <c r="P4" s="440"/>
      <c r="Q4" s="440"/>
      <c r="S4" s="437">
        <v>75085</v>
      </c>
      <c r="T4" s="438"/>
      <c r="U4" s="439">
        <v>0</v>
      </c>
      <c r="V4" s="440"/>
      <c r="W4" s="440"/>
    </row>
    <row r="5" spans="1:41" ht="22.5" customHeight="1" x14ac:dyDescent="0.25">
      <c r="A5" s="129">
        <v>80104</v>
      </c>
      <c r="B5" s="130"/>
      <c r="C5" s="131">
        <v>20090780</v>
      </c>
      <c r="D5" s="139"/>
      <c r="E5" s="139"/>
      <c r="G5" s="441">
        <v>80104</v>
      </c>
      <c r="H5" s="442"/>
      <c r="I5" s="443">
        <v>18057280</v>
      </c>
      <c r="J5" s="444"/>
      <c r="K5" s="444"/>
      <c r="M5" s="441">
        <v>80104</v>
      </c>
      <c r="N5" s="442"/>
      <c r="O5" s="443">
        <v>18071904</v>
      </c>
      <c r="P5" s="444"/>
      <c r="Q5" s="444"/>
      <c r="S5" s="441">
        <v>80104</v>
      </c>
      <c r="T5" s="442"/>
      <c r="U5" s="443">
        <v>18216289</v>
      </c>
      <c r="V5" s="444"/>
      <c r="W5" s="444"/>
    </row>
    <row r="6" spans="1:41" ht="22.5" customHeight="1" x14ac:dyDescent="0.25">
      <c r="A6" s="132">
        <v>80146</v>
      </c>
      <c r="B6" s="130"/>
      <c r="C6" s="131">
        <v>28193</v>
      </c>
      <c r="D6" s="139"/>
      <c r="E6" s="139"/>
      <c r="G6" s="445">
        <v>80146</v>
      </c>
      <c r="H6" s="442"/>
      <c r="I6" s="443">
        <v>32526.67</v>
      </c>
      <c r="J6" s="444"/>
      <c r="K6" s="444"/>
      <c r="M6" s="445">
        <v>80146</v>
      </c>
      <c r="N6" s="442"/>
      <c r="O6" s="443">
        <v>37603.67</v>
      </c>
      <c r="P6" s="444"/>
      <c r="Q6" s="444"/>
      <c r="S6" s="445">
        <v>80146</v>
      </c>
      <c r="T6" s="442"/>
      <c r="U6" s="443">
        <v>44896.67</v>
      </c>
      <c r="V6" s="444"/>
      <c r="W6" s="444"/>
    </row>
    <row r="7" spans="1:41" ht="22.5" customHeight="1" x14ac:dyDescent="0.25">
      <c r="A7" s="132">
        <v>80148</v>
      </c>
      <c r="B7" s="130"/>
      <c r="C7" s="131">
        <v>1865388</v>
      </c>
      <c r="D7" s="139"/>
      <c r="E7" s="139"/>
      <c r="G7" s="445">
        <v>80148</v>
      </c>
      <c r="H7" s="442"/>
      <c r="I7" s="443">
        <v>1767945</v>
      </c>
      <c r="J7" s="444"/>
      <c r="K7" s="444"/>
      <c r="M7" s="445">
        <v>80148</v>
      </c>
      <c r="N7" s="442"/>
      <c r="O7" s="443">
        <v>1742232</v>
      </c>
      <c r="P7" s="444"/>
      <c r="Q7" s="444"/>
      <c r="S7" s="445">
        <v>80148</v>
      </c>
      <c r="T7" s="442"/>
      <c r="U7" s="443">
        <v>1757267</v>
      </c>
      <c r="V7" s="444"/>
      <c r="W7" s="444"/>
    </row>
    <row r="8" spans="1:41" ht="22.5" customHeight="1" x14ac:dyDescent="0.25">
      <c r="A8" s="132">
        <v>80149</v>
      </c>
      <c r="B8" s="130"/>
      <c r="C8" s="131">
        <v>887887</v>
      </c>
      <c r="D8" s="139"/>
      <c r="E8" s="139"/>
      <c r="G8" s="445">
        <v>80149</v>
      </c>
      <c r="H8" s="442"/>
      <c r="I8" s="443">
        <v>823311</v>
      </c>
      <c r="J8" s="444"/>
      <c r="K8" s="444"/>
      <c r="M8" s="445">
        <v>80149</v>
      </c>
      <c r="N8" s="442"/>
      <c r="O8" s="443">
        <v>816673</v>
      </c>
      <c r="P8" s="444"/>
      <c r="Q8" s="444"/>
      <c r="S8" s="445">
        <v>80149</v>
      </c>
      <c r="T8" s="442"/>
      <c r="U8" s="443">
        <v>816370</v>
      </c>
      <c r="V8" s="444"/>
      <c r="W8" s="444"/>
    </row>
    <row r="9" spans="1:41" ht="22.5" customHeight="1" x14ac:dyDescent="0.25">
      <c r="A9" s="132">
        <v>80195</v>
      </c>
      <c r="B9" s="130"/>
      <c r="C9" s="131">
        <v>0</v>
      </c>
      <c r="D9" s="139"/>
      <c r="E9" s="139"/>
      <c r="G9" s="445">
        <v>80195</v>
      </c>
      <c r="H9" s="442"/>
      <c r="I9" s="443">
        <v>0</v>
      </c>
      <c r="J9" s="444"/>
      <c r="K9" s="444"/>
      <c r="M9" s="445">
        <v>80195</v>
      </c>
      <c r="N9" s="442"/>
      <c r="O9" s="443">
        <v>5280</v>
      </c>
      <c r="P9" s="444"/>
      <c r="Q9" s="444"/>
      <c r="S9" s="445">
        <v>80195</v>
      </c>
      <c r="T9" s="442"/>
      <c r="U9" s="443">
        <v>5280</v>
      </c>
      <c r="V9" s="444"/>
      <c r="W9" s="444"/>
    </row>
    <row r="10" spans="1:41" ht="22.5" customHeight="1" thickBot="1" x14ac:dyDescent="0.3">
      <c r="A10" s="132">
        <v>85404</v>
      </c>
      <c r="B10" s="133"/>
      <c r="C10" s="134">
        <v>104962</v>
      </c>
      <c r="D10" s="252"/>
      <c r="E10" s="252"/>
      <c r="G10" s="445">
        <v>85404</v>
      </c>
      <c r="H10" s="446"/>
      <c r="I10" s="447">
        <v>89248</v>
      </c>
      <c r="J10" s="448"/>
      <c r="K10" s="448"/>
      <c r="M10" s="445">
        <v>85404</v>
      </c>
      <c r="N10" s="446"/>
      <c r="O10" s="447">
        <v>90066</v>
      </c>
      <c r="P10" s="448"/>
      <c r="Q10" s="448"/>
      <c r="S10" s="445">
        <v>85404</v>
      </c>
      <c r="T10" s="446"/>
      <c r="U10" s="447">
        <v>111340</v>
      </c>
      <c r="V10" s="448"/>
      <c r="W10" s="448"/>
    </row>
    <row r="11" spans="1:41" ht="22.5" customHeight="1" thickTop="1" thickBot="1" x14ac:dyDescent="0.3">
      <c r="A11" s="541" t="s">
        <v>12</v>
      </c>
      <c r="B11" s="542"/>
      <c r="C11" s="135">
        <f>SUM(C4:C10)</f>
        <v>22977210</v>
      </c>
      <c r="D11" s="136">
        <f>SUM(D4:D9)</f>
        <v>0</v>
      </c>
      <c r="E11" s="136">
        <f>SUM(E4:E9)</f>
        <v>0</v>
      </c>
      <c r="G11" s="534" t="s">
        <v>12</v>
      </c>
      <c r="H11" s="535"/>
      <c r="I11" s="449">
        <f>SUM(I4:I10)</f>
        <v>20770310.670000002</v>
      </c>
      <c r="J11" s="450">
        <f>SUM(J4:J9)</f>
        <v>0</v>
      </c>
      <c r="K11" s="450">
        <f>SUM(K4:K9)</f>
        <v>0</v>
      </c>
      <c r="M11" s="534" t="s">
        <v>12</v>
      </c>
      <c r="N11" s="535"/>
      <c r="O11" s="449">
        <f>SUM(O4:O10)</f>
        <v>20763758.670000002</v>
      </c>
      <c r="P11" s="450">
        <f>SUM(P4:P9)</f>
        <v>0</v>
      </c>
      <c r="Q11" s="450">
        <f>SUM(Q4:Q9)</f>
        <v>0</v>
      </c>
      <c r="S11" s="534" t="s">
        <v>12</v>
      </c>
      <c r="T11" s="535"/>
      <c r="U11" s="449">
        <f>SUM(U4:U10)</f>
        <v>20951442.670000002</v>
      </c>
      <c r="V11" s="450">
        <f>SUM(V4:V9)</f>
        <v>0</v>
      </c>
      <c r="W11" s="450">
        <f>SUM(W4:W9)</f>
        <v>0</v>
      </c>
    </row>
    <row r="12" spans="1:41" ht="22.5" customHeight="1" thickTop="1" x14ac:dyDescent="0.25">
      <c r="A12" s="132" t="s">
        <v>13</v>
      </c>
      <c r="B12" s="137"/>
      <c r="C12" s="138">
        <v>1061002.68</v>
      </c>
      <c r="D12" s="139"/>
      <c r="E12" s="139"/>
      <c r="G12" s="445" t="s">
        <v>13</v>
      </c>
      <c r="H12" s="451"/>
      <c r="I12" s="452">
        <v>921876.66</v>
      </c>
      <c r="J12" s="444"/>
      <c r="K12" s="444"/>
      <c r="M12" s="445" t="s">
        <v>13</v>
      </c>
      <c r="N12" s="451"/>
      <c r="O12" s="452">
        <v>962616.61</v>
      </c>
      <c r="P12" s="444"/>
      <c r="Q12" s="444"/>
      <c r="S12" s="445" t="s">
        <v>13</v>
      </c>
      <c r="T12" s="451"/>
      <c r="U12" s="452">
        <v>962616.61</v>
      </c>
      <c r="V12" s="444"/>
      <c r="W12" s="444"/>
    </row>
    <row r="13" spans="1:41" ht="22.5" customHeight="1" x14ac:dyDescent="0.25">
      <c r="A13" s="543" t="s">
        <v>14</v>
      </c>
      <c r="B13" s="544"/>
      <c r="C13" s="138">
        <v>0</v>
      </c>
      <c r="D13" s="139"/>
      <c r="E13" s="139"/>
      <c r="G13" s="536" t="s">
        <v>14</v>
      </c>
      <c r="H13" s="537"/>
      <c r="I13" s="452">
        <v>0</v>
      </c>
      <c r="J13" s="444"/>
      <c r="K13" s="444"/>
      <c r="M13" s="536" t="s">
        <v>14</v>
      </c>
      <c r="N13" s="537"/>
      <c r="O13" s="452">
        <v>0</v>
      </c>
      <c r="P13" s="444"/>
      <c r="Q13" s="444"/>
      <c r="S13" s="536" t="s">
        <v>14</v>
      </c>
      <c r="T13" s="537"/>
      <c r="U13" s="452">
        <v>0</v>
      </c>
      <c r="V13" s="444"/>
      <c r="W13" s="444"/>
    </row>
    <row r="14" spans="1:41" ht="22.5" customHeight="1" x14ac:dyDescent="0.25">
      <c r="A14" s="543" t="s">
        <v>15</v>
      </c>
      <c r="B14" s="544"/>
      <c r="C14" s="138">
        <v>187363.56</v>
      </c>
      <c r="D14" s="139"/>
      <c r="E14" s="139"/>
      <c r="G14" s="536" t="s">
        <v>74</v>
      </c>
      <c r="H14" s="537"/>
      <c r="I14" s="452">
        <v>154476.72</v>
      </c>
      <c r="J14" s="444"/>
      <c r="K14" s="444"/>
      <c r="M14" s="536" t="s">
        <v>74</v>
      </c>
      <c r="N14" s="537"/>
      <c r="O14" s="452">
        <v>164442.96</v>
      </c>
      <c r="P14" s="444"/>
      <c r="Q14" s="444"/>
      <c r="S14" s="536" t="s">
        <v>74</v>
      </c>
      <c r="T14" s="537"/>
      <c r="U14" s="452">
        <v>164442.96</v>
      </c>
      <c r="V14" s="444"/>
      <c r="W14" s="444"/>
    </row>
    <row r="15" spans="1:41" ht="26.25" customHeight="1" x14ac:dyDescent="0.25">
      <c r="A15" s="547" t="s">
        <v>83</v>
      </c>
      <c r="B15" s="548"/>
      <c r="C15" s="142">
        <v>0</v>
      </c>
      <c r="D15" s="143"/>
      <c r="E15" s="143"/>
      <c r="G15" s="536" t="s">
        <v>83</v>
      </c>
      <c r="H15" s="537"/>
      <c r="I15" s="453">
        <v>0</v>
      </c>
      <c r="J15" s="454"/>
      <c r="K15" s="454"/>
      <c r="M15" s="536" t="s">
        <v>83</v>
      </c>
      <c r="N15" s="537"/>
      <c r="O15" s="453">
        <v>0</v>
      </c>
      <c r="P15" s="454"/>
      <c r="Q15" s="454"/>
      <c r="S15" s="536" t="s">
        <v>83</v>
      </c>
      <c r="T15" s="537"/>
      <c r="U15" s="453">
        <v>0</v>
      </c>
      <c r="V15" s="454"/>
      <c r="W15" s="454"/>
    </row>
    <row r="16" spans="1:41" ht="22.5" customHeight="1" thickBot="1" x14ac:dyDescent="0.3">
      <c r="A16" s="545" t="s">
        <v>16</v>
      </c>
      <c r="B16" s="546"/>
      <c r="C16" s="142">
        <f>SUM(C12:C15)</f>
        <v>1248366.24</v>
      </c>
      <c r="D16" s="143"/>
      <c r="E16" s="143"/>
      <c r="G16" s="529" t="s">
        <v>16</v>
      </c>
      <c r="H16" s="530"/>
      <c r="I16" s="453">
        <f>SUM(I12:I15)</f>
        <v>1076353.3800000001</v>
      </c>
      <c r="J16" s="454"/>
      <c r="K16" s="454"/>
      <c r="M16" s="529" t="s">
        <v>16</v>
      </c>
      <c r="N16" s="530"/>
      <c r="O16" s="453">
        <f>SUM(O12:O15)</f>
        <v>1127059.57</v>
      </c>
      <c r="P16" s="454"/>
      <c r="Q16" s="454"/>
      <c r="S16" s="529" t="s">
        <v>16</v>
      </c>
      <c r="T16" s="530"/>
      <c r="U16" s="453">
        <f>SUM(U12:U15)</f>
        <v>1127059.57</v>
      </c>
      <c r="V16" s="454"/>
      <c r="W16" s="454"/>
    </row>
    <row r="17" spans="1:41" ht="22.5" customHeight="1" thickTop="1" thickBot="1" x14ac:dyDescent="0.3">
      <c r="A17" s="144" t="s">
        <v>17</v>
      </c>
      <c r="B17" s="145"/>
      <c r="C17" s="135">
        <f>C11-C16</f>
        <v>21728843.760000002</v>
      </c>
      <c r="D17" s="136">
        <f>D11-D16</f>
        <v>0</v>
      </c>
      <c r="E17" s="136">
        <f>E11-E16</f>
        <v>0</v>
      </c>
      <c r="G17" s="455" t="s">
        <v>17</v>
      </c>
      <c r="H17" s="456"/>
      <c r="I17" s="449">
        <f>I11-I16</f>
        <v>19693957.290000003</v>
      </c>
      <c r="J17" s="450">
        <f>J11-J16</f>
        <v>0</v>
      </c>
      <c r="K17" s="450">
        <f>K11-K16</f>
        <v>0</v>
      </c>
      <c r="M17" s="455" t="s">
        <v>17</v>
      </c>
      <c r="N17" s="456"/>
      <c r="O17" s="449">
        <f>O11-O16</f>
        <v>19636699.100000001</v>
      </c>
      <c r="P17" s="450">
        <f>P11-P16</f>
        <v>0</v>
      </c>
      <c r="Q17" s="450">
        <f>Q11-Q16</f>
        <v>0</v>
      </c>
      <c r="S17" s="455" t="s">
        <v>17</v>
      </c>
      <c r="T17" s="456"/>
      <c r="U17" s="449">
        <f>U11-U16</f>
        <v>19824383.100000001</v>
      </c>
      <c r="V17" s="450">
        <f>V11-V16</f>
        <v>0</v>
      </c>
      <c r="W17" s="450">
        <f>W11-W16</f>
        <v>0</v>
      </c>
    </row>
    <row r="18" spans="1:41" ht="22.5" customHeight="1" thickTop="1" x14ac:dyDescent="0.25">
      <c r="A18" s="126" t="s">
        <v>18</v>
      </c>
      <c r="B18" s="146"/>
      <c r="C18" s="147">
        <v>1635</v>
      </c>
      <c r="D18" s="148"/>
      <c r="E18" s="148"/>
      <c r="G18" s="437" t="s">
        <v>18</v>
      </c>
      <c r="H18" s="457"/>
      <c r="I18" s="458">
        <v>1629</v>
      </c>
      <c r="J18" s="459"/>
      <c r="K18" s="459"/>
      <c r="M18" s="437" t="s">
        <v>18</v>
      </c>
      <c r="N18" s="457"/>
      <c r="O18" s="458">
        <v>1630.67</v>
      </c>
      <c r="P18" s="459"/>
      <c r="Q18" s="459"/>
      <c r="S18" s="437" t="s">
        <v>18</v>
      </c>
      <c r="T18" s="457"/>
      <c r="U18" s="458">
        <v>1630.67</v>
      </c>
      <c r="V18" s="459"/>
      <c r="W18" s="459"/>
    </row>
    <row r="19" spans="1:41" ht="22.5" customHeight="1" thickBot="1" x14ac:dyDescent="0.3">
      <c r="A19" s="149" t="s">
        <v>19</v>
      </c>
      <c r="B19" s="150"/>
      <c r="C19" s="147">
        <v>28</v>
      </c>
      <c r="D19" s="151"/>
      <c r="E19" s="151"/>
      <c r="G19" s="460" t="s">
        <v>19</v>
      </c>
      <c r="H19" s="461"/>
      <c r="I19" s="458">
        <v>26</v>
      </c>
      <c r="J19" s="462"/>
      <c r="K19" s="462"/>
      <c r="M19" s="460" t="s">
        <v>19</v>
      </c>
      <c r="N19" s="461"/>
      <c r="O19" s="458">
        <v>26.67</v>
      </c>
      <c r="P19" s="462"/>
      <c r="Q19" s="462"/>
      <c r="S19" s="460" t="s">
        <v>19</v>
      </c>
      <c r="T19" s="461"/>
      <c r="U19" s="458">
        <v>26.67</v>
      </c>
      <c r="V19" s="462"/>
      <c r="W19" s="462"/>
    </row>
    <row r="20" spans="1:41" ht="22.5" customHeight="1" thickTop="1" thickBot="1" x14ac:dyDescent="0.3">
      <c r="A20" s="144" t="s">
        <v>20</v>
      </c>
      <c r="B20" s="145"/>
      <c r="C20" s="152">
        <f>C18-C19</f>
        <v>1607</v>
      </c>
      <c r="D20" s="152">
        <f>D18-D19</f>
        <v>0</v>
      </c>
      <c r="E20" s="152">
        <f>E18-E19</f>
        <v>0</v>
      </c>
      <c r="G20" s="455" t="s">
        <v>20</v>
      </c>
      <c r="H20" s="456"/>
      <c r="I20" s="463">
        <f>I18-I19</f>
        <v>1603</v>
      </c>
      <c r="J20" s="463">
        <f>J18-J19</f>
        <v>0</v>
      </c>
      <c r="K20" s="463">
        <f>K18-K19</f>
        <v>0</v>
      </c>
      <c r="M20" s="455" t="s">
        <v>20</v>
      </c>
      <c r="N20" s="456"/>
      <c r="O20" s="463">
        <f>O18-O19</f>
        <v>1604</v>
      </c>
      <c r="P20" s="463">
        <f>P18-P19</f>
        <v>0</v>
      </c>
      <c r="Q20" s="463">
        <f>Q18-Q19</f>
        <v>0</v>
      </c>
      <c r="S20" s="455" t="s">
        <v>20</v>
      </c>
      <c r="T20" s="456"/>
      <c r="U20" s="463">
        <f>U18-U19</f>
        <v>1604</v>
      </c>
      <c r="V20" s="463">
        <f>V18-V19</f>
        <v>0</v>
      </c>
      <c r="W20" s="463">
        <f>W18-W19</f>
        <v>0</v>
      </c>
    </row>
    <row r="21" spans="1:41" ht="22.5" customHeight="1" thickTop="1" thickBot="1" x14ac:dyDescent="0.3">
      <c r="A21" s="144"/>
      <c r="B21" s="145"/>
      <c r="C21" s="155"/>
      <c r="D21" s="152"/>
      <c r="E21" s="152"/>
      <c r="G21" s="455"/>
      <c r="H21" s="456"/>
      <c r="I21" s="464"/>
      <c r="J21" s="463"/>
      <c r="K21" s="463"/>
      <c r="M21" s="455"/>
      <c r="N21" s="456"/>
      <c r="O21" s="464"/>
      <c r="P21" s="463"/>
      <c r="Q21" s="463"/>
      <c r="S21" s="455"/>
      <c r="T21" s="456"/>
      <c r="U21" s="464"/>
      <c r="V21" s="463"/>
      <c r="W21" s="463"/>
    </row>
    <row r="22" spans="1:41" ht="18.75" customHeight="1" thickTop="1" thickBot="1" x14ac:dyDescent="0.3">
      <c r="A22" s="539" t="s">
        <v>114</v>
      </c>
      <c r="B22" s="540"/>
      <c r="C22" s="153" t="str">
        <f>FIXED(C17/C20,2)</f>
        <v>13 521,37</v>
      </c>
      <c r="D22" s="154" t="str">
        <f>FIXED(C22/12,2)</f>
        <v>1 126,78</v>
      </c>
      <c r="E22" s="154"/>
      <c r="G22" s="531" t="s">
        <v>114</v>
      </c>
      <c r="H22" s="532"/>
      <c r="I22" s="465" t="str">
        <f>FIXED(I17/I20,2)</f>
        <v>12 285,69</v>
      </c>
      <c r="J22" s="466" t="str">
        <f>FIXED(I22/12,2)</f>
        <v>1 023,81</v>
      </c>
      <c r="K22" s="466"/>
      <c r="M22" s="531" t="s">
        <v>114</v>
      </c>
      <c r="N22" s="532"/>
      <c r="O22" s="465" t="str">
        <f>FIXED(O17/O20,2)</f>
        <v>12 242,33</v>
      </c>
      <c r="P22" s="466" t="str">
        <f>FIXED(O22/12,2)</f>
        <v>1 020,19</v>
      </c>
      <c r="Q22" s="466"/>
      <c r="S22" s="531" t="s">
        <v>114</v>
      </c>
      <c r="T22" s="532"/>
      <c r="U22" s="465" t="str">
        <f>FIXED(U17/U20,2)</f>
        <v>12 359,34</v>
      </c>
      <c r="V22" s="466" t="str">
        <f>FIXED(U22/12,2)</f>
        <v>1 029,95</v>
      </c>
      <c r="W22" s="466"/>
    </row>
    <row r="23" spans="1:41" ht="16.5" customHeight="1" thickTop="1" thickBot="1" x14ac:dyDescent="0.3">
      <c r="A23" s="539" t="s">
        <v>84</v>
      </c>
      <c r="B23" s="540"/>
      <c r="C23" s="153" t="str">
        <f>FIXED(C22*0.75,2)</f>
        <v>10 141,03</v>
      </c>
      <c r="D23" s="154" t="str">
        <f>FIXED(C23/12,2)</f>
        <v>845,09</v>
      </c>
      <c r="E23" s="154"/>
      <c r="F23" s="40"/>
      <c r="G23" s="531" t="s">
        <v>84</v>
      </c>
      <c r="H23" s="532"/>
      <c r="I23" s="465" t="str">
        <f>FIXED(I22*0.75,2)</f>
        <v>9 214,27</v>
      </c>
      <c r="J23" s="466" t="str">
        <f>FIXED(I23/12,2)</f>
        <v>767,86</v>
      </c>
      <c r="K23" s="467"/>
      <c r="M23" s="531" t="s">
        <v>84</v>
      </c>
      <c r="N23" s="532"/>
      <c r="O23" s="465" t="str">
        <f>FIXED(O22*0.75,2)</f>
        <v>9 181,75</v>
      </c>
      <c r="P23" s="466" t="str">
        <f>FIXED(O23/12,2)</f>
        <v>765,15</v>
      </c>
      <c r="Q23" s="467"/>
      <c r="S23" s="531" t="s">
        <v>84</v>
      </c>
      <c r="T23" s="532"/>
      <c r="U23" s="465" t="str">
        <f>FIXED(U22*0.75,2)</f>
        <v>9 269,51</v>
      </c>
      <c r="V23" s="466" t="str">
        <f>FIXED(U23/12,2)</f>
        <v>772,46</v>
      </c>
      <c r="W23" s="467"/>
    </row>
    <row r="24" spans="1:41" ht="16.5" customHeight="1" thickTop="1" thickBot="1" x14ac:dyDescent="0.3">
      <c r="A24" s="539" t="s">
        <v>85</v>
      </c>
      <c r="B24" s="540"/>
      <c r="C24" s="153" t="str">
        <f>FIXED(C22*0.4,2)</f>
        <v>5 408,55</v>
      </c>
      <c r="D24" s="154" t="str">
        <f>FIXED(C24/12,2)</f>
        <v>450,71</v>
      </c>
      <c r="E24" s="154"/>
      <c r="G24" s="531" t="s">
        <v>85</v>
      </c>
      <c r="H24" s="532"/>
      <c r="I24" s="465" t="str">
        <f>FIXED(I22*0.4,2)</f>
        <v>4 914,28</v>
      </c>
      <c r="J24" s="466" t="str">
        <f>FIXED(I24/12,2)</f>
        <v>409,52</v>
      </c>
      <c r="K24" s="467"/>
      <c r="M24" s="531" t="s">
        <v>85</v>
      </c>
      <c r="N24" s="532"/>
      <c r="O24" s="465" t="str">
        <f>FIXED(O22*0.4,2)</f>
        <v>4 896,93</v>
      </c>
      <c r="P24" s="466" t="str">
        <f>FIXED(O24/12,2)</f>
        <v>408,08</v>
      </c>
      <c r="Q24" s="467"/>
      <c r="S24" s="531" t="s">
        <v>85</v>
      </c>
      <c r="T24" s="532"/>
      <c r="U24" s="465" t="str">
        <f>FIXED(U22*0.4,2)</f>
        <v>4 943,74</v>
      </c>
      <c r="V24" s="466" t="str">
        <f>FIXED(U24/12,2)</f>
        <v>411,98</v>
      </c>
      <c r="W24" s="467"/>
    </row>
    <row r="25" spans="1:41" ht="15.75" thickTop="1" x14ac:dyDescent="0.25">
      <c r="A25" s="141"/>
      <c r="B25" s="253"/>
      <c r="C25" s="254"/>
      <c r="D25" s="255"/>
      <c r="E25" s="140"/>
      <c r="H25" s="468"/>
      <c r="I25" s="469"/>
      <c r="J25" s="470"/>
      <c r="N25" s="468"/>
      <c r="O25" s="469"/>
      <c r="P25" s="470"/>
      <c r="T25" s="468"/>
      <c r="U25" s="469"/>
      <c r="V25" s="470"/>
    </row>
    <row r="26" spans="1:41" s="1" customFormat="1" ht="12.75" customHeight="1" x14ac:dyDescent="0.2">
      <c r="A26" s="122" t="s">
        <v>207</v>
      </c>
      <c r="B26" s="256"/>
      <c r="C26" s="257"/>
      <c r="D26" s="106"/>
      <c r="E26" s="106"/>
      <c r="F26" s="41"/>
      <c r="G26" s="471" t="s">
        <v>126</v>
      </c>
      <c r="H26" s="472"/>
      <c r="I26" s="473"/>
      <c r="J26" s="353"/>
      <c r="K26" s="353"/>
      <c r="L26" s="324"/>
      <c r="M26" s="471" t="s">
        <v>151</v>
      </c>
      <c r="N26" s="472"/>
      <c r="O26" s="473"/>
      <c r="P26" s="353"/>
      <c r="Q26" s="353"/>
      <c r="R26" s="353"/>
      <c r="S26" s="471" t="s">
        <v>158</v>
      </c>
      <c r="T26" s="472"/>
      <c r="U26" s="47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</row>
    <row r="27" spans="1:41" x14ac:dyDescent="0.25">
      <c r="A27" s="141"/>
      <c r="B27" s="141"/>
      <c r="C27" s="141"/>
      <c r="D27" s="141"/>
      <c r="E27" s="140"/>
    </row>
    <row r="28" spans="1:41" x14ac:dyDescent="0.25">
      <c r="A28" s="141"/>
      <c r="B28" s="141"/>
      <c r="C28" s="141"/>
      <c r="D28" s="141"/>
      <c r="E28" s="141"/>
      <c r="K28" s="432"/>
      <c r="Q28" s="432"/>
      <c r="W28" s="432"/>
    </row>
  </sheetData>
  <mergeCells count="36">
    <mergeCell ref="M16:N16"/>
    <mergeCell ref="M22:N22"/>
    <mergeCell ref="M23:N23"/>
    <mergeCell ref="M24:N24"/>
    <mergeCell ref="M1:P1"/>
    <mergeCell ref="M11:N11"/>
    <mergeCell ref="M13:N13"/>
    <mergeCell ref="M14:N14"/>
    <mergeCell ref="M15:N15"/>
    <mergeCell ref="A1:D1"/>
    <mergeCell ref="A23:B23"/>
    <mergeCell ref="A24:B24"/>
    <mergeCell ref="A11:B11"/>
    <mergeCell ref="A13:B13"/>
    <mergeCell ref="A16:B16"/>
    <mergeCell ref="A22:B22"/>
    <mergeCell ref="A14:B14"/>
    <mergeCell ref="A15:B15"/>
    <mergeCell ref="G16:H16"/>
    <mergeCell ref="G22:H22"/>
    <mergeCell ref="G23:H23"/>
    <mergeCell ref="G24:H24"/>
    <mergeCell ref="G1:J1"/>
    <mergeCell ref="G11:H11"/>
    <mergeCell ref="G13:H13"/>
    <mergeCell ref="G14:H14"/>
    <mergeCell ref="G15:H15"/>
    <mergeCell ref="S16:T16"/>
    <mergeCell ref="S22:T22"/>
    <mergeCell ref="S23:T23"/>
    <mergeCell ref="S24:T24"/>
    <mergeCell ref="S1:V1"/>
    <mergeCell ref="S11:T11"/>
    <mergeCell ref="S13:T13"/>
    <mergeCell ref="S14:T14"/>
    <mergeCell ref="S15:T15"/>
  </mergeCells>
  <pageMargins left="0.25" right="0.25" top="0.75" bottom="0.75" header="0.3" footer="0.3"/>
  <pageSetup paperSize="9" orientation="portrait" r:id="rId1"/>
  <headerFooter>
    <oddHeader xml:space="preserve">&amp;C
</oddHeader>
    <oddFooter xml:space="preserve">&amp;L&amp;9Opracowała: Urszula Dobrowolska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5B76F-E219-48C4-ADDA-53E79A88C58A}">
  <sheetPr>
    <pageSetUpPr fitToPage="1"/>
  </sheetPr>
  <dimension ref="A1:T28"/>
  <sheetViews>
    <sheetView workbookViewId="0">
      <selection activeCell="G22" sqref="G22"/>
    </sheetView>
  </sheetViews>
  <sheetFormatPr defaultColWidth="9.140625" defaultRowHeight="12.75" x14ac:dyDescent="0.2"/>
  <cols>
    <col min="1" max="1" width="3.42578125" style="1" bestFit="1" customWidth="1"/>
    <col min="2" max="2" width="22.7109375" style="1" customWidth="1"/>
    <col min="3" max="3" width="12.85546875" style="1" customWidth="1"/>
    <col min="4" max="4" width="8.7109375" style="1" customWidth="1"/>
    <col min="5" max="5" width="11.7109375" style="1" customWidth="1"/>
    <col min="6" max="6" width="11.42578125" style="1" customWidth="1"/>
    <col min="7" max="7" width="7.140625" style="1" customWidth="1"/>
    <col min="8" max="8" width="10.42578125" style="1" customWidth="1"/>
    <col min="9" max="9" width="5.42578125" style="1" customWidth="1"/>
    <col min="10" max="10" width="4.7109375" style="1" customWidth="1"/>
    <col min="11" max="11" width="5.5703125" style="1" customWidth="1"/>
    <col min="12" max="12" width="12.7109375" style="1" customWidth="1"/>
    <col min="13" max="13" width="7" style="1" customWidth="1"/>
    <col min="14" max="14" width="6.140625" style="1" customWidth="1"/>
    <col min="15" max="15" width="6.5703125" style="1" customWidth="1"/>
    <col min="16" max="16" width="7" style="1" customWidth="1"/>
    <col min="17" max="17" width="10.7109375" style="1" customWidth="1"/>
    <col min="18" max="18" width="9.42578125" style="1" customWidth="1"/>
    <col min="19" max="19" width="10.28515625" style="1" customWidth="1"/>
    <col min="20" max="20" width="6.140625" style="42" customWidth="1"/>
    <col min="21" max="16384" width="9.140625" style="1"/>
  </cols>
  <sheetData>
    <row r="1" spans="1:20" s="43" customFormat="1" ht="18" customHeight="1" x14ac:dyDescent="0.3">
      <c r="A1" s="553" t="s">
        <v>191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100"/>
    </row>
    <row r="2" spans="1:20" s="25" customFormat="1" ht="36.75" customHeight="1" x14ac:dyDescent="0.2">
      <c r="A2" s="554" t="s">
        <v>29</v>
      </c>
      <c r="B2" s="555" t="s">
        <v>30</v>
      </c>
      <c r="C2" s="556" t="s">
        <v>190</v>
      </c>
      <c r="D2" s="556"/>
      <c r="E2" s="556"/>
      <c r="F2" s="556"/>
      <c r="G2" s="556"/>
      <c r="H2" s="556"/>
      <c r="I2" s="556"/>
      <c r="J2" s="556" t="s">
        <v>76</v>
      </c>
      <c r="K2" s="556"/>
      <c r="L2" s="557" t="s">
        <v>31</v>
      </c>
      <c r="M2" s="554" t="s">
        <v>199</v>
      </c>
      <c r="N2" s="554"/>
      <c r="O2" s="554"/>
      <c r="P2" s="554"/>
      <c r="Q2" s="554" t="s">
        <v>139</v>
      </c>
      <c r="R2" s="554" t="s">
        <v>140</v>
      </c>
      <c r="S2" s="557" t="s">
        <v>32</v>
      </c>
      <c r="T2" s="101"/>
    </row>
    <row r="3" spans="1:20" s="25" customFormat="1" ht="51" customHeight="1" x14ac:dyDescent="0.2">
      <c r="A3" s="554"/>
      <c r="B3" s="555"/>
      <c r="C3" s="71" t="s">
        <v>77</v>
      </c>
      <c r="D3" s="71" t="s">
        <v>33</v>
      </c>
      <c r="E3" s="71" t="s">
        <v>104</v>
      </c>
      <c r="F3" s="71" t="s">
        <v>34</v>
      </c>
      <c r="G3" s="71" t="s">
        <v>35</v>
      </c>
      <c r="H3" s="71" t="s">
        <v>105</v>
      </c>
      <c r="I3" s="71" t="s">
        <v>36</v>
      </c>
      <c r="J3" s="71" t="s">
        <v>78</v>
      </c>
      <c r="K3" s="71" t="s">
        <v>107</v>
      </c>
      <c r="L3" s="557"/>
      <c r="M3" s="71" t="s">
        <v>111</v>
      </c>
      <c r="N3" s="71" t="s">
        <v>79</v>
      </c>
      <c r="O3" s="71" t="s">
        <v>111</v>
      </c>
      <c r="P3" s="71" t="s">
        <v>79</v>
      </c>
      <c r="Q3" s="554"/>
      <c r="R3" s="554"/>
      <c r="S3" s="558"/>
      <c r="T3" s="250" t="s">
        <v>198</v>
      </c>
    </row>
    <row r="4" spans="1:20" s="73" customFormat="1" x14ac:dyDescent="0.15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  <c r="L4" s="72">
        <v>12</v>
      </c>
      <c r="M4" s="72">
        <v>15</v>
      </c>
      <c r="N4" s="72">
        <v>16</v>
      </c>
      <c r="O4" s="72">
        <v>15</v>
      </c>
      <c r="P4" s="72">
        <v>16</v>
      </c>
      <c r="Q4" s="72">
        <v>17</v>
      </c>
      <c r="R4" s="121"/>
      <c r="S4" s="121">
        <v>18</v>
      </c>
      <c r="T4" s="63"/>
    </row>
    <row r="5" spans="1:20" ht="23.25" customHeight="1" x14ac:dyDescent="0.2">
      <c r="A5" s="63">
        <v>1</v>
      </c>
      <c r="B5" s="64" t="s">
        <v>37</v>
      </c>
      <c r="C5" s="66">
        <v>2813106</v>
      </c>
      <c r="D5" s="66">
        <v>8677</v>
      </c>
      <c r="E5" s="66">
        <v>318650</v>
      </c>
      <c r="F5" s="66"/>
      <c r="G5" s="66"/>
      <c r="H5" s="66">
        <v>11984</v>
      </c>
      <c r="I5" s="346"/>
      <c r="J5" s="346"/>
      <c r="K5" s="66"/>
      <c r="L5" s="68">
        <f>SUM(C5:I5)-SUM(J5:K5)</f>
        <v>3152417</v>
      </c>
      <c r="M5" s="77">
        <v>226</v>
      </c>
      <c r="N5" s="77"/>
      <c r="O5" s="77"/>
      <c r="P5" s="77"/>
      <c r="Q5" s="102">
        <v>226</v>
      </c>
      <c r="R5" s="102">
        <f xml:space="preserve"> (N5*2/3+P5*1/3)*0</f>
        <v>0</v>
      </c>
      <c r="S5" s="549">
        <f>ROUND(L13/Q14,2)</f>
        <v>13521.37</v>
      </c>
      <c r="T5" s="63">
        <v>2</v>
      </c>
    </row>
    <row r="6" spans="1:20" ht="27.75" customHeight="1" x14ac:dyDescent="0.2">
      <c r="A6" s="63">
        <v>2</v>
      </c>
      <c r="B6" s="64" t="s">
        <v>38</v>
      </c>
      <c r="C6" s="67">
        <v>1526652</v>
      </c>
      <c r="D6" s="78">
        <v>3500</v>
      </c>
      <c r="E6" s="78">
        <v>199145</v>
      </c>
      <c r="F6" s="67">
        <v>1588</v>
      </c>
      <c r="G6" s="346"/>
      <c r="H6" s="346"/>
      <c r="I6" s="346"/>
      <c r="J6" s="346"/>
      <c r="K6" s="66"/>
      <c r="L6" s="68">
        <f t="shared" ref="L6:L11" si="0">SUM(C6:I6)-SUM(J6:K6)</f>
        <v>1730885</v>
      </c>
      <c r="M6" s="77">
        <v>119</v>
      </c>
      <c r="N6" s="77"/>
      <c r="O6" s="77"/>
      <c r="P6" s="77"/>
      <c r="Q6" s="102">
        <v>119</v>
      </c>
      <c r="R6" s="102">
        <f t="shared" ref="R6:R12" si="1" xml:space="preserve"> (N6*2/3+P6*1/3)</f>
        <v>0</v>
      </c>
      <c r="S6" s="549"/>
      <c r="T6" s="63"/>
    </row>
    <row r="7" spans="1:20" ht="27.75" customHeight="1" x14ac:dyDescent="0.2">
      <c r="A7" s="63">
        <v>3</v>
      </c>
      <c r="B7" s="64" t="s">
        <v>39</v>
      </c>
      <c r="C7" s="67">
        <v>4281652</v>
      </c>
      <c r="D7" s="354"/>
      <c r="E7" s="67">
        <v>182362</v>
      </c>
      <c r="F7" s="354"/>
      <c r="G7" s="354"/>
      <c r="H7" s="354"/>
      <c r="I7" s="346"/>
      <c r="J7" s="346"/>
      <c r="K7" s="66"/>
      <c r="L7" s="68">
        <f t="shared" si="0"/>
        <v>4464014</v>
      </c>
      <c r="M7" s="77">
        <v>375</v>
      </c>
      <c r="N7" s="77">
        <v>1</v>
      </c>
      <c r="O7" s="77"/>
      <c r="P7" s="77"/>
      <c r="Q7" s="102">
        <v>375</v>
      </c>
      <c r="R7" s="102">
        <f xml:space="preserve"> (N7*3/3+P7*1/3)</f>
        <v>1</v>
      </c>
      <c r="S7" s="549"/>
      <c r="T7" s="63"/>
    </row>
    <row r="8" spans="1:20" ht="22.5" customHeight="1" x14ac:dyDescent="0.2">
      <c r="A8" s="63">
        <v>4</v>
      </c>
      <c r="B8" s="64" t="s">
        <v>40</v>
      </c>
      <c r="C8" s="67">
        <v>2812856</v>
      </c>
      <c r="D8" s="67">
        <v>9508</v>
      </c>
      <c r="E8" s="67">
        <v>427511</v>
      </c>
      <c r="F8" s="67">
        <v>29499</v>
      </c>
      <c r="G8" s="346"/>
      <c r="H8" s="346"/>
      <c r="I8" s="346"/>
      <c r="J8" s="346"/>
      <c r="K8" s="66"/>
      <c r="L8" s="68">
        <f t="shared" si="0"/>
        <v>3279374</v>
      </c>
      <c r="M8" s="77">
        <v>259</v>
      </c>
      <c r="N8" s="77"/>
      <c r="O8" s="77"/>
      <c r="P8" s="77"/>
      <c r="Q8" s="102">
        <v>259</v>
      </c>
      <c r="R8" s="102">
        <f t="shared" ref="R8:R11" si="2" xml:space="preserve"> (N8*3/3+P8*1/3)</f>
        <v>0</v>
      </c>
      <c r="S8" s="549"/>
      <c r="T8" s="63">
        <v>1</v>
      </c>
    </row>
    <row r="9" spans="1:20" ht="21.75" customHeight="1" x14ac:dyDescent="0.2">
      <c r="A9" s="65">
        <v>5</v>
      </c>
      <c r="B9" s="64" t="s">
        <v>41</v>
      </c>
      <c r="C9" s="66">
        <v>2037226</v>
      </c>
      <c r="D9" s="66">
        <v>1000</v>
      </c>
      <c r="E9" s="66">
        <v>388984</v>
      </c>
      <c r="F9" s="66">
        <v>691414</v>
      </c>
      <c r="G9" s="66"/>
      <c r="H9" s="66">
        <v>50941</v>
      </c>
      <c r="I9" s="346"/>
      <c r="J9" s="346"/>
      <c r="K9" s="66"/>
      <c r="L9" s="68">
        <f t="shared" si="0"/>
        <v>3169565</v>
      </c>
      <c r="M9" s="77">
        <v>125</v>
      </c>
      <c r="N9" s="77">
        <v>24</v>
      </c>
      <c r="O9" s="77"/>
      <c r="P9" s="77"/>
      <c r="Q9" s="102">
        <v>125</v>
      </c>
      <c r="R9" s="102">
        <f t="shared" si="2"/>
        <v>24</v>
      </c>
      <c r="S9" s="549"/>
      <c r="T9" s="63">
        <v>27</v>
      </c>
    </row>
    <row r="10" spans="1:20" ht="27.75" customHeight="1" x14ac:dyDescent="0.2">
      <c r="A10" s="63">
        <v>6</v>
      </c>
      <c r="B10" s="64" t="s">
        <v>42</v>
      </c>
      <c r="C10" s="66">
        <v>2381427</v>
      </c>
      <c r="D10" s="66">
        <v>5508</v>
      </c>
      <c r="E10" s="66">
        <v>168921</v>
      </c>
      <c r="F10" s="67">
        <v>36505</v>
      </c>
      <c r="G10" s="66"/>
      <c r="H10" s="66"/>
      <c r="I10" s="346"/>
      <c r="J10" s="346"/>
      <c r="K10" s="66"/>
      <c r="L10" s="68">
        <f t="shared" si="0"/>
        <v>2592361</v>
      </c>
      <c r="M10" s="77">
        <v>195</v>
      </c>
      <c r="N10" s="77"/>
      <c r="O10" s="77"/>
      <c r="P10" s="77"/>
      <c r="Q10" s="102">
        <v>195</v>
      </c>
      <c r="R10" s="102">
        <f xml:space="preserve"> (N10*3/3+P10*1/3)</f>
        <v>0</v>
      </c>
      <c r="S10" s="549"/>
      <c r="T10" s="63">
        <v>1</v>
      </c>
    </row>
    <row r="11" spans="1:20" ht="27.75" customHeight="1" x14ac:dyDescent="0.2">
      <c r="A11" s="63">
        <v>7</v>
      </c>
      <c r="B11" s="64" t="s">
        <v>43</v>
      </c>
      <c r="C11" s="66">
        <v>4237861</v>
      </c>
      <c r="D11" s="66"/>
      <c r="E11" s="66">
        <v>179815</v>
      </c>
      <c r="F11" s="66">
        <v>128881</v>
      </c>
      <c r="G11" s="66"/>
      <c r="H11" s="66">
        <v>42037</v>
      </c>
      <c r="I11" s="346"/>
      <c r="J11" s="346"/>
      <c r="K11" s="66"/>
      <c r="L11" s="68">
        <f t="shared" si="0"/>
        <v>4588594</v>
      </c>
      <c r="M11" s="77">
        <v>336</v>
      </c>
      <c r="N11" s="77">
        <v>3</v>
      </c>
      <c r="O11" s="77"/>
      <c r="P11" s="77"/>
      <c r="Q11" s="102">
        <v>336</v>
      </c>
      <c r="R11" s="102">
        <f t="shared" si="2"/>
        <v>3</v>
      </c>
      <c r="S11" s="549"/>
      <c r="T11" s="63">
        <v>6</v>
      </c>
    </row>
    <row r="12" spans="1:20" ht="15.75" customHeight="1" x14ac:dyDescent="0.2">
      <c r="A12" s="103"/>
      <c r="B12" s="104"/>
      <c r="C12" s="70"/>
      <c r="D12" s="70"/>
      <c r="E12" s="70"/>
      <c r="F12" s="70"/>
      <c r="G12" s="70"/>
      <c r="H12" s="70"/>
      <c r="I12" s="70"/>
      <c r="J12" s="70"/>
      <c r="K12" s="70"/>
      <c r="L12" s="245">
        <f>SUM(L5:L11)</f>
        <v>22977210</v>
      </c>
      <c r="M12" s="74"/>
      <c r="N12" s="74"/>
      <c r="O12" s="74"/>
      <c r="P12" s="74"/>
      <c r="Q12" s="102">
        <f>SUM(Q5:Q11)</f>
        <v>1635</v>
      </c>
      <c r="R12" s="102">
        <f t="shared" si="1"/>
        <v>0</v>
      </c>
      <c r="S12" s="234"/>
      <c r="T12" s="63">
        <f>SUM(T5:T11)</f>
        <v>37</v>
      </c>
    </row>
    <row r="13" spans="1:20" s="44" customFormat="1" ht="20.25" customHeight="1" x14ac:dyDescent="0.25">
      <c r="A13" s="550" t="s">
        <v>44</v>
      </c>
      <c r="B13" s="551"/>
      <c r="C13" s="79">
        <f>SUM(C5:C11)</f>
        <v>20090780</v>
      </c>
      <c r="D13" s="79">
        <f t="shared" ref="D13:K13" si="3">SUM(D5:D11)</f>
        <v>28193</v>
      </c>
      <c r="E13" s="79">
        <f t="shared" si="3"/>
        <v>1865388</v>
      </c>
      <c r="F13" s="79">
        <f t="shared" si="3"/>
        <v>887887</v>
      </c>
      <c r="G13" s="79">
        <f t="shared" si="3"/>
        <v>0</v>
      </c>
      <c r="H13" s="79">
        <f t="shared" si="3"/>
        <v>104962</v>
      </c>
      <c r="I13" s="79">
        <f t="shared" si="3"/>
        <v>0</v>
      </c>
      <c r="J13" s="79">
        <f t="shared" si="3"/>
        <v>0</v>
      </c>
      <c r="K13" s="79">
        <f t="shared" si="3"/>
        <v>0</v>
      </c>
      <c r="L13" s="246">
        <f>L12-L14</f>
        <v>21728843.760000002</v>
      </c>
      <c r="M13" s="75">
        <f>SUM(M5:M11)</f>
        <v>1635</v>
      </c>
      <c r="N13" s="75">
        <f>SUM(N5:N11)</f>
        <v>28</v>
      </c>
      <c r="O13" s="75">
        <f>SUM(O5:O11)</f>
        <v>0</v>
      </c>
      <c r="P13" s="75">
        <f>SUM(P5:P11)</f>
        <v>0</v>
      </c>
      <c r="Q13" s="244">
        <f xml:space="preserve"> (M13*3/3+O13*1/3)</f>
        <v>1635</v>
      </c>
      <c r="R13" s="244">
        <f xml:space="preserve"> (N13*3/3+P13*1/3)</f>
        <v>28</v>
      </c>
      <c r="S13" s="248">
        <f>ROUND(L13/Q14,2)</f>
        <v>13521.37</v>
      </c>
      <c r="T13" s="105"/>
    </row>
    <row r="14" spans="1:20" ht="13.5" customHeight="1" x14ac:dyDescent="0.2">
      <c r="A14" s="106"/>
      <c r="B14" s="106"/>
      <c r="C14" s="552" t="s">
        <v>192</v>
      </c>
      <c r="D14" s="552"/>
      <c r="E14" s="552"/>
      <c r="F14" s="552"/>
      <c r="G14" s="107" t="s">
        <v>80</v>
      </c>
      <c r="H14" s="107"/>
      <c r="I14" s="107"/>
      <c r="J14" s="107"/>
      <c r="K14" s="107"/>
      <c r="L14" s="247">
        <f>F15+H15</f>
        <v>1248366.24</v>
      </c>
      <c r="M14" s="76"/>
      <c r="N14" s="109"/>
      <c r="O14" s="76" t="s">
        <v>144</v>
      </c>
      <c r="P14" s="107"/>
      <c r="Q14" s="248">
        <f>ROUND(Q13-R13,2)</f>
        <v>1607</v>
      </c>
      <c r="R14" s="244"/>
      <c r="S14" s="235"/>
      <c r="T14" s="69"/>
    </row>
    <row r="15" spans="1:20" ht="13.5" customHeight="1" x14ac:dyDescent="0.2">
      <c r="A15" s="106"/>
      <c r="B15" s="110"/>
      <c r="C15" s="111"/>
      <c r="D15" s="111"/>
      <c r="E15" s="425" t="s">
        <v>110</v>
      </c>
      <c r="F15" s="426">
        <v>1061002.68</v>
      </c>
      <c r="G15" s="425" t="s">
        <v>91</v>
      </c>
      <c r="H15" s="427">
        <v>187363.56</v>
      </c>
      <c r="I15" s="107"/>
      <c r="J15" s="107"/>
      <c r="K15" s="107"/>
      <c r="L15" s="108"/>
      <c r="M15" s="76"/>
      <c r="N15" s="109"/>
      <c r="O15" s="249" t="s">
        <v>143</v>
      </c>
      <c r="P15" s="119" t="s">
        <v>81</v>
      </c>
      <c r="Q15" s="120">
        <v>13521.37</v>
      </c>
      <c r="R15" s="202" t="s">
        <v>61</v>
      </c>
      <c r="S15" s="248">
        <f>ROUND(S13/12,2)</f>
        <v>1126.78</v>
      </c>
      <c r="T15" s="69"/>
    </row>
    <row r="16" spans="1:20" ht="13.5" customHeight="1" x14ac:dyDescent="0.2">
      <c r="A16" s="106"/>
      <c r="B16" s="110"/>
      <c r="C16" s="112"/>
      <c r="D16" s="112"/>
      <c r="E16" s="113"/>
      <c r="F16" s="114"/>
      <c r="G16" s="115"/>
      <c r="H16" s="116"/>
      <c r="I16" s="117"/>
      <c r="J16" s="117"/>
      <c r="K16" s="117"/>
      <c r="L16" s="116"/>
      <c r="M16" s="118"/>
      <c r="N16" s="115"/>
      <c r="O16" s="249" t="s">
        <v>141</v>
      </c>
      <c r="P16" s="119" t="s">
        <v>81</v>
      </c>
      <c r="Q16" s="120">
        <f>ROUND(S13*0.75,2)</f>
        <v>10141.030000000001</v>
      </c>
      <c r="R16" s="202" t="s">
        <v>61</v>
      </c>
      <c r="S16" s="248">
        <f>ROUND(Q16/12,2)</f>
        <v>845.09</v>
      </c>
      <c r="T16" s="203"/>
    </row>
    <row r="17" spans="1:20" ht="12.75" customHeight="1" x14ac:dyDescent="0.2">
      <c r="A17" s="106"/>
      <c r="B17" s="110"/>
      <c r="C17" s="112"/>
      <c r="D17" s="112"/>
      <c r="E17" s="113"/>
      <c r="F17" s="114"/>
      <c r="G17" s="115"/>
      <c r="H17" s="116"/>
      <c r="I17" s="117"/>
      <c r="J17" s="117"/>
      <c r="K17" s="117"/>
      <c r="L17" s="116"/>
      <c r="M17" s="118"/>
      <c r="N17" s="115"/>
      <c r="O17" s="249" t="s">
        <v>142</v>
      </c>
      <c r="P17" s="119" t="s">
        <v>81</v>
      </c>
      <c r="Q17" s="120">
        <f>ROUND(S13*0.4,2)</f>
        <v>5408.55</v>
      </c>
      <c r="R17" s="202" t="s">
        <v>61</v>
      </c>
      <c r="S17" s="248">
        <f>ROUND(Q17/12,2)</f>
        <v>450.71</v>
      </c>
      <c r="T17" s="203"/>
    </row>
    <row r="18" spans="1:20" s="60" customFormat="1" ht="25.5" x14ac:dyDescent="0.2">
      <c r="A18" s="230"/>
      <c r="B18" s="231" t="s">
        <v>132</v>
      </c>
      <c r="C18" s="108">
        <v>1635</v>
      </c>
      <c r="D18" s="86"/>
      <c r="E18" s="86"/>
      <c r="F18" s="86"/>
      <c r="G18" s="59"/>
      <c r="H18" s="86"/>
      <c r="I18" s="86"/>
      <c r="J18" s="87"/>
      <c r="K18" s="87"/>
      <c r="L18" s="87"/>
      <c r="M18" s="87"/>
      <c r="N18" s="87"/>
      <c r="O18" s="87"/>
      <c r="P18" s="87"/>
      <c r="S18" s="98"/>
    </row>
    <row r="19" spans="1:20" s="96" customFormat="1" ht="24" customHeight="1" x14ac:dyDescent="0.2">
      <c r="A19" s="232"/>
      <c r="B19" s="231" t="s">
        <v>138</v>
      </c>
      <c r="C19" s="108">
        <v>28</v>
      </c>
      <c r="D19" s="207"/>
      <c r="E19" s="207"/>
      <c r="F19" s="207"/>
      <c r="G19" s="95"/>
      <c r="H19" s="207"/>
      <c r="I19" s="88"/>
      <c r="J19" s="89"/>
      <c r="K19" s="89"/>
      <c r="L19" s="89"/>
      <c r="M19" s="89"/>
      <c r="N19" s="89"/>
      <c r="O19" s="89"/>
      <c r="S19" s="97"/>
    </row>
    <row r="20" spans="1:20" s="96" customFormat="1" ht="23.25" customHeight="1" x14ac:dyDescent="0.2">
      <c r="A20" s="233"/>
      <c r="B20" s="231" t="s">
        <v>145</v>
      </c>
      <c r="C20" s="108">
        <f>C18-C19</f>
        <v>1607</v>
      </c>
      <c r="D20" s="428"/>
      <c r="E20" s="428"/>
      <c r="F20" s="428"/>
      <c r="G20" s="428"/>
      <c r="H20" s="428"/>
      <c r="I20" s="429"/>
      <c r="J20" s="428"/>
      <c r="K20" s="428"/>
      <c r="L20" s="428">
        <v>2754993</v>
      </c>
      <c r="M20" s="89"/>
      <c r="N20" s="89"/>
      <c r="O20" s="89"/>
      <c r="S20" s="97"/>
    </row>
    <row r="21" spans="1:20" s="96" customFormat="1" ht="17.25" customHeight="1" x14ac:dyDescent="0.2">
      <c r="A21" s="233"/>
      <c r="B21" s="231" t="s">
        <v>133</v>
      </c>
      <c r="C21" s="108">
        <v>37</v>
      </c>
      <c r="D21" s="428">
        <v>4983.12</v>
      </c>
      <c r="E21" s="428"/>
      <c r="F21" s="428"/>
      <c r="G21" s="428"/>
      <c r="H21" s="428"/>
      <c r="I21" s="429"/>
      <c r="J21" s="428"/>
      <c r="K21" s="428"/>
      <c r="L21" s="430">
        <f>L5-L20</f>
        <v>397424</v>
      </c>
      <c r="M21" s="89"/>
      <c r="N21" s="89"/>
      <c r="O21" s="89"/>
      <c r="S21" s="97"/>
    </row>
    <row r="22" spans="1:20" s="96" customFormat="1" ht="25.5" x14ac:dyDescent="0.2">
      <c r="A22" s="233"/>
      <c r="B22" s="231" t="s">
        <v>160</v>
      </c>
      <c r="C22" s="108">
        <v>22977210</v>
      </c>
      <c r="D22" s="428"/>
      <c r="E22" s="428"/>
      <c r="F22" s="428"/>
      <c r="G22" s="428"/>
      <c r="H22" s="428"/>
      <c r="I22" s="429"/>
      <c r="J22" s="428"/>
      <c r="K22" s="428"/>
      <c r="L22" s="428"/>
      <c r="M22" s="89"/>
      <c r="N22" s="89"/>
      <c r="O22" s="89"/>
      <c r="S22" s="97"/>
    </row>
    <row r="23" spans="1:20" s="96" customFormat="1" ht="25.5" x14ac:dyDescent="0.2">
      <c r="A23" s="233"/>
      <c r="B23" s="231" t="s">
        <v>134</v>
      </c>
      <c r="C23" s="108">
        <f>F15</f>
        <v>1061002.68</v>
      </c>
      <c r="D23" s="428"/>
      <c r="E23" s="428"/>
      <c r="F23" s="428"/>
      <c r="G23" s="428"/>
      <c r="H23" s="428"/>
      <c r="I23" s="429"/>
      <c r="J23" s="428"/>
      <c r="K23" s="428"/>
      <c r="L23" s="428"/>
      <c r="M23" s="89"/>
      <c r="N23" s="89"/>
      <c r="O23" s="89"/>
      <c r="S23" s="97"/>
    </row>
    <row r="24" spans="1:20" s="56" customFormat="1" x14ac:dyDescent="0.2">
      <c r="A24" s="233"/>
      <c r="B24" s="231" t="s">
        <v>135</v>
      </c>
      <c r="C24" s="108">
        <f>H15</f>
        <v>187363.56</v>
      </c>
      <c r="D24" s="428">
        <f>C21*D21</f>
        <v>184375.44</v>
      </c>
      <c r="E24" s="428"/>
      <c r="F24" s="428"/>
      <c r="G24" s="428"/>
      <c r="H24" s="428"/>
      <c r="I24" s="429"/>
      <c r="J24" s="428"/>
      <c r="K24" s="428"/>
      <c r="L24" s="428"/>
      <c r="M24" s="89"/>
      <c r="N24" s="89"/>
      <c r="O24" s="89"/>
      <c r="P24" s="89"/>
      <c r="S24" s="97"/>
    </row>
    <row r="25" spans="1:20" ht="25.5" x14ac:dyDescent="0.2">
      <c r="B25" s="231" t="s">
        <v>146</v>
      </c>
      <c r="C25" s="108">
        <f>C22-(C23+C24)</f>
        <v>21728843.760000002</v>
      </c>
      <c r="D25" s="106"/>
    </row>
    <row r="26" spans="1:20" x14ac:dyDescent="0.2">
      <c r="B26" s="231" t="s">
        <v>169</v>
      </c>
      <c r="C26" s="108">
        <f>C25/C20</f>
        <v>13521.371350342253</v>
      </c>
      <c r="D26" s="108">
        <f>C26/12</f>
        <v>1126.7809458618544</v>
      </c>
    </row>
    <row r="27" spans="1:20" x14ac:dyDescent="0.2">
      <c r="B27" s="231" t="s">
        <v>170</v>
      </c>
      <c r="C27" s="108">
        <f>(C25/C20)*0.75</f>
        <v>10141.028512756689</v>
      </c>
      <c r="D27" s="108">
        <f t="shared" ref="D27:D28" si="4">C27/12</f>
        <v>845.08570939639083</v>
      </c>
    </row>
    <row r="28" spans="1:20" x14ac:dyDescent="0.2">
      <c r="B28" s="231" t="s">
        <v>171</v>
      </c>
      <c r="C28" s="108">
        <f>(C25/C20)*0.4</f>
        <v>5408.5485401369015</v>
      </c>
      <c r="D28" s="108">
        <f t="shared" si="4"/>
        <v>450.71237834474181</v>
      </c>
    </row>
  </sheetData>
  <mergeCells count="13">
    <mergeCell ref="S5:S11"/>
    <mergeCell ref="A13:B13"/>
    <mergeCell ref="C14:F14"/>
    <mergeCell ref="A1:S1"/>
    <mergeCell ref="A2:A3"/>
    <mergeCell ref="B2:B3"/>
    <mergeCell ref="C2:I2"/>
    <mergeCell ref="J2:K2"/>
    <mergeCell ref="L2:L3"/>
    <mergeCell ref="M2:P2"/>
    <mergeCell ref="Q2:Q3"/>
    <mergeCell ref="S2:S3"/>
    <mergeCell ref="R2:R3"/>
  </mergeCells>
  <phoneticPr fontId="29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>
    <oddFooter>&amp;Lopracowała: Urszula Dobrowolska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28"/>
  <sheetViews>
    <sheetView workbookViewId="0">
      <selection activeCell="F26" sqref="F26"/>
    </sheetView>
  </sheetViews>
  <sheetFormatPr defaultColWidth="9.140625" defaultRowHeight="12.75" x14ac:dyDescent="0.2"/>
  <cols>
    <col min="1" max="1" width="3.42578125" style="353" bestFit="1" customWidth="1"/>
    <col min="2" max="2" width="27.42578125" style="353" customWidth="1"/>
    <col min="3" max="3" width="12.85546875" style="353" customWidth="1"/>
    <col min="4" max="4" width="10.5703125" style="353" customWidth="1"/>
    <col min="5" max="5" width="11.7109375" style="353" customWidth="1"/>
    <col min="6" max="6" width="9.7109375" style="353" customWidth="1"/>
    <col min="7" max="7" width="7.5703125" style="353" customWidth="1"/>
    <col min="8" max="8" width="10.42578125" style="353" customWidth="1"/>
    <col min="9" max="9" width="5.42578125" style="353" customWidth="1"/>
    <col min="10" max="10" width="4.7109375" style="353" customWidth="1"/>
    <col min="11" max="11" width="5.5703125" style="353" customWidth="1"/>
    <col min="12" max="12" width="12.7109375" style="353" customWidth="1"/>
    <col min="13" max="13" width="7" style="353" customWidth="1"/>
    <col min="14" max="14" width="6.140625" style="353" customWidth="1"/>
    <col min="15" max="16" width="7" style="353" customWidth="1"/>
    <col min="17" max="17" width="10.7109375" style="353" customWidth="1"/>
    <col min="18" max="18" width="9.42578125" style="353" customWidth="1"/>
    <col min="19" max="19" width="10.28515625" style="353" customWidth="1"/>
    <col min="20" max="20" width="8" style="375" customWidth="1"/>
    <col min="21" max="21" width="6.7109375" style="375" customWidth="1"/>
    <col min="22" max="22" width="7.85546875" style="324" hidden="1" customWidth="1"/>
    <col min="23" max="25" width="4.7109375" style="324" hidden="1" customWidth="1"/>
    <col min="26" max="27" width="9.85546875" style="376" hidden="1" customWidth="1"/>
    <col min="28" max="29" width="0" style="377" hidden="1" customWidth="1"/>
    <col min="30" max="30" width="0" style="353" hidden="1" customWidth="1"/>
    <col min="31" max="16384" width="9.140625" style="353"/>
  </cols>
  <sheetData>
    <row r="1" spans="1:29" s="327" customFormat="1" ht="18" customHeight="1" x14ac:dyDescent="0.3">
      <c r="A1" s="564" t="s">
        <v>161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323"/>
      <c r="U1" s="323"/>
      <c r="V1" s="324"/>
      <c r="W1" s="324"/>
      <c r="X1" s="324"/>
      <c r="Y1" s="324"/>
      <c r="Z1" s="325"/>
      <c r="AA1" s="325"/>
      <c r="AB1" s="326"/>
      <c r="AC1" s="326"/>
    </row>
    <row r="2" spans="1:29" s="331" customFormat="1" ht="36.75" customHeight="1" x14ac:dyDescent="0.2">
      <c r="A2" s="565" t="s">
        <v>29</v>
      </c>
      <c r="B2" s="566" t="s">
        <v>30</v>
      </c>
      <c r="C2" s="567" t="s">
        <v>120</v>
      </c>
      <c r="D2" s="567"/>
      <c r="E2" s="567"/>
      <c r="F2" s="567"/>
      <c r="G2" s="567"/>
      <c r="H2" s="567"/>
      <c r="I2" s="567"/>
      <c r="J2" s="567" t="s">
        <v>76</v>
      </c>
      <c r="K2" s="567"/>
      <c r="L2" s="568" t="s">
        <v>31</v>
      </c>
      <c r="M2" s="565" t="s">
        <v>108</v>
      </c>
      <c r="N2" s="565"/>
      <c r="O2" s="565"/>
      <c r="P2" s="565"/>
      <c r="Q2" s="565" t="s">
        <v>139</v>
      </c>
      <c r="R2" s="565" t="s">
        <v>140</v>
      </c>
      <c r="S2" s="569" t="s">
        <v>32</v>
      </c>
      <c r="T2" s="328"/>
      <c r="U2" s="328"/>
      <c r="V2" s="559" t="s">
        <v>89</v>
      </c>
      <c r="W2" s="559"/>
      <c r="X2" s="559"/>
      <c r="Y2" s="559"/>
      <c r="Z2" s="329"/>
      <c r="AA2" s="329"/>
      <c r="AB2" s="330"/>
      <c r="AC2" s="330"/>
    </row>
    <row r="3" spans="1:29" s="331" customFormat="1" ht="58.5" customHeight="1" x14ac:dyDescent="0.2">
      <c r="A3" s="565"/>
      <c r="B3" s="566"/>
      <c r="C3" s="332" t="s">
        <v>77</v>
      </c>
      <c r="D3" s="332" t="s">
        <v>33</v>
      </c>
      <c r="E3" s="332" t="s">
        <v>104</v>
      </c>
      <c r="F3" s="332" t="s">
        <v>34</v>
      </c>
      <c r="G3" s="332" t="s">
        <v>35</v>
      </c>
      <c r="H3" s="332" t="s">
        <v>105</v>
      </c>
      <c r="I3" s="332" t="s">
        <v>36</v>
      </c>
      <c r="J3" s="332" t="s">
        <v>78</v>
      </c>
      <c r="K3" s="332" t="s">
        <v>107</v>
      </c>
      <c r="L3" s="568"/>
      <c r="M3" s="332" t="s">
        <v>82</v>
      </c>
      <c r="N3" s="332" t="s">
        <v>79</v>
      </c>
      <c r="O3" s="332" t="s">
        <v>111</v>
      </c>
      <c r="P3" s="332" t="s">
        <v>79</v>
      </c>
      <c r="Q3" s="565"/>
      <c r="R3" s="565"/>
      <c r="S3" s="570"/>
      <c r="T3" s="333" t="s">
        <v>92</v>
      </c>
      <c r="U3" s="333" t="s">
        <v>130</v>
      </c>
      <c r="V3" s="324" t="s">
        <v>87</v>
      </c>
      <c r="W3" s="324" t="s">
        <v>86</v>
      </c>
      <c r="X3" s="324" t="s">
        <v>106</v>
      </c>
      <c r="Y3" s="324" t="s">
        <v>88</v>
      </c>
      <c r="Z3" s="334" t="s">
        <v>87</v>
      </c>
      <c r="AA3" s="334" t="s">
        <v>127</v>
      </c>
      <c r="AB3" s="335" t="s">
        <v>128</v>
      </c>
      <c r="AC3" s="335" t="s">
        <v>129</v>
      </c>
    </row>
    <row r="4" spans="1:29" s="344" customFormat="1" x14ac:dyDescent="0.15">
      <c r="A4" s="336">
        <v>1</v>
      </c>
      <c r="B4" s="336">
        <v>2</v>
      </c>
      <c r="C4" s="336">
        <v>3</v>
      </c>
      <c r="D4" s="336">
        <v>4</v>
      </c>
      <c r="E4" s="336">
        <v>5</v>
      </c>
      <c r="F4" s="336">
        <v>6</v>
      </c>
      <c r="G4" s="336">
        <v>7</v>
      </c>
      <c r="H4" s="336">
        <v>8</v>
      </c>
      <c r="I4" s="336">
        <v>9</v>
      </c>
      <c r="J4" s="336">
        <v>10</v>
      </c>
      <c r="K4" s="336">
        <v>11</v>
      </c>
      <c r="L4" s="336">
        <v>12</v>
      </c>
      <c r="M4" s="336">
        <v>13</v>
      </c>
      <c r="N4" s="336">
        <v>14</v>
      </c>
      <c r="O4" s="336">
        <v>15</v>
      </c>
      <c r="P4" s="336">
        <v>16</v>
      </c>
      <c r="Q4" s="336">
        <v>17</v>
      </c>
      <c r="R4" s="337"/>
      <c r="S4" s="337">
        <v>18</v>
      </c>
      <c r="T4" s="338"/>
      <c r="U4" s="338"/>
      <c r="V4" s="339"/>
      <c r="W4" s="340">
        <v>6050</v>
      </c>
      <c r="X4" s="340">
        <v>4270</v>
      </c>
      <c r="Y4" s="339"/>
      <c r="Z4" s="341"/>
      <c r="AA4" s="342"/>
      <c r="AB4" s="343"/>
      <c r="AC4" s="343"/>
    </row>
    <row r="5" spans="1:29" ht="23.25" customHeight="1" x14ac:dyDescent="0.2">
      <c r="A5" s="338">
        <v>1</v>
      </c>
      <c r="B5" s="345" t="s">
        <v>37</v>
      </c>
      <c r="C5" s="346">
        <v>2431634</v>
      </c>
      <c r="D5" s="346">
        <v>2500</v>
      </c>
      <c r="E5" s="346">
        <v>306946</v>
      </c>
      <c r="F5" s="346"/>
      <c r="G5" s="346"/>
      <c r="H5" s="346">
        <v>13913</v>
      </c>
      <c r="I5" s="346"/>
      <c r="J5" s="346"/>
      <c r="K5" s="346"/>
      <c r="L5" s="347">
        <f>SUM(C5:I5)-SUM(J5:K5)</f>
        <v>2754993</v>
      </c>
      <c r="M5" s="348">
        <v>230</v>
      </c>
      <c r="N5" s="348"/>
      <c r="O5" s="348">
        <v>225</v>
      </c>
      <c r="P5" s="348"/>
      <c r="Q5" s="349">
        <f xml:space="preserve"> (M5*2/3+O5*1/3)</f>
        <v>228.33333333333334</v>
      </c>
      <c r="R5" s="349">
        <f xml:space="preserve"> (N5*2/3+P5*1/3)</f>
        <v>0</v>
      </c>
      <c r="S5" s="560">
        <f>ROUND(L13/Q14,2)</f>
        <v>12359.34</v>
      </c>
      <c r="T5" s="338">
        <v>1</v>
      </c>
      <c r="U5" s="338">
        <v>2</v>
      </c>
      <c r="W5" s="350"/>
      <c r="X5" s="350"/>
      <c r="Z5" s="351"/>
      <c r="AA5" s="351"/>
      <c r="AB5" s="352">
        <v>0</v>
      </c>
      <c r="AC5" s="352">
        <v>0</v>
      </c>
    </row>
    <row r="6" spans="1:29" ht="27.75" customHeight="1" x14ac:dyDescent="0.2">
      <c r="A6" s="338">
        <v>2</v>
      </c>
      <c r="B6" s="345" t="s">
        <v>38</v>
      </c>
      <c r="C6" s="354">
        <v>1506765</v>
      </c>
      <c r="D6" s="355">
        <v>5504.67</v>
      </c>
      <c r="E6" s="355">
        <v>132707</v>
      </c>
      <c r="F6" s="354"/>
      <c r="G6" s="346">
        <v>160</v>
      </c>
      <c r="H6" s="346"/>
      <c r="I6" s="346"/>
      <c r="J6" s="346"/>
      <c r="K6" s="346"/>
      <c r="L6" s="347">
        <f t="shared" ref="L6:L10" si="0">SUM(C6:I6)-SUM(J6:K6)</f>
        <v>1645136.67</v>
      </c>
      <c r="M6" s="348">
        <v>124</v>
      </c>
      <c r="N6" s="348"/>
      <c r="O6" s="348">
        <v>119</v>
      </c>
      <c r="P6" s="348"/>
      <c r="Q6" s="349">
        <f t="shared" ref="Q6:R13" si="1" xml:space="preserve"> (M6*2/3+O6*1/3)</f>
        <v>122.33333333333334</v>
      </c>
      <c r="R6" s="349">
        <f t="shared" si="1"/>
        <v>0</v>
      </c>
      <c r="S6" s="560"/>
      <c r="T6" s="338"/>
      <c r="U6" s="338"/>
      <c r="W6" s="350"/>
      <c r="X6" s="350"/>
      <c r="Z6" s="351"/>
      <c r="AA6" s="351"/>
      <c r="AB6" s="352">
        <v>0</v>
      </c>
      <c r="AC6" s="352">
        <v>0</v>
      </c>
    </row>
    <row r="7" spans="1:29" ht="27.75" customHeight="1" x14ac:dyDescent="0.2">
      <c r="A7" s="338">
        <v>3</v>
      </c>
      <c r="B7" s="345" t="s">
        <v>39</v>
      </c>
      <c r="C7" s="354">
        <v>4010810</v>
      </c>
      <c r="D7" s="354">
        <v>10000</v>
      </c>
      <c r="E7" s="354">
        <v>280432</v>
      </c>
      <c r="F7" s="354">
        <v>42937</v>
      </c>
      <c r="G7" s="354">
        <v>640</v>
      </c>
      <c r="H7" s="354"/>
      <c r="I7" s="346"/>
      <c r="J7" s="346"/>
      <c r="K7" s="346"/>
      <c r="L7" s="347">
        <f t="shared" si="0"/>
        <v>4344819</v>
      </c>
      <c r="M7" s="348">
        <v>370</v>
      </c>
      <c r="N7" s="348">
        <v>1</v>
      </c>
      <c r="O7" s="348">
        <v>374</v>
      </c>
      <c r="P7" s="348">
        <v>1</v>
      </c>
      <c r="Q7" s="349">
        <f t="shared" si="1"/>
        <v>371.33333333333331</v>
      </c>
      <c r="R7" s="349">
        <f t="shared" si="1"/>
        <v>1</v>
      </c>
      <c r="S7" s="560"/>
      <c r="T7" s="338"/>
      <c r="U7" s="338"/>
      <c r="W7" s="350"/>
      <c r="X7" s="350"/>
      <c r="Z7" s="351">
        <v>42937</v>
      </c>
      <c r="AA7" s="351">
        <v>24179</v>
      </c>
      <c r="AB7" s="352">
        <v>1</v>
      </c>
      <c r="AC7" s="352">
        <v>1</v>
      </c>
    </row>
    <row r="8" spans="1:29" ht="22.5" customHeight="1" x14ac:dyDescent="0.2">
      <c r="A8" s="338">
        <v>4</v>
      </c>
      <c r="B8" s="345" t="s">
        <v>40</v>
      </c>
      <c r="C8" s="354">
        <v>2805861</v>
      </c>
      <c r="D8" s="354">
        <v>3599</v>
      </c>
      <c r="E8" s="354">
        <v>346512</v>
      </c>
      <c r="F8" s="354">
        <v>33841</v>
      </c>
      <c r="G8" s="346"/>
      <c r="H8" s="346"/>
      <c r="I8" s="346"/>
      <c r="J8" s="346"/>
      <c r="K8" s="346"/>
      <c r="L8" s="347">
        <f t="shared" si="0"/>
        <v>3189813</v>
      </c>
      <c r="M8" s="348">
        <v>262</v>
      </c>
      <c r="N8" s="348">
        <v>2</v>
      </c>
      <c r="O8" s="348">
        <v>259</v>
      </c>
      <c r="P8" s="348"/>
      <c r="Q8" s="349">
        <f t="shared" si="1"/>
        <v>261</v>
      </c>
      <c r="R8" s="349">
        <f t="shared" si="1"/>
        <v>1.3333333333333333</v>
      </c>
      <c r="S8" s="560"/>
      <c r="T8" s="338">
        <v>1</v>
      </c>
      <c r="U8" s="338">
        <v>1</v>
      </c>
      <c r="W8" s="350"/>
      <c r="X8" s="350"/>
      <c r="Z8" s="351">
        <v>33841</v>
      </c>
      <c r="AA8" s="351">
        <v>176935</v>
      </c>
      <c r="AB8" s="352">
        <v>2</v>
      </c>
      <c r="AC8" s="352">
        <v>0</v>
      </c>
    </row>
    <row r="9" spans="1:29" ht="21.75" customHeight="1" x14ac:dyDescent="0.2">
      <c r="A9" s="356">
        <v>5</v>
      </c>
      <c r="B9" s="345" t="s">
        <v>41</v>
      </c>
      <c r="C9" s="346">
        <v>1813611</v>
      </c>
      <c r="D9" s="346">
        <v>9793</v>
      </c>
      <c r="E9" s="346">
        <v>343487</v>
      </c>
      <c r="F9" s="346">
        <v>528543</v>
      </c>
      <c r="G9" s="346">
        <v>160</v>
      </c>
      <c r="H9" s="346">
        <v>43475</v>
      </c>
      <c r="I9" s="346"/>
      <c r="J9" s="346"/>
      <c r="K9" s="346"/>
      <c r="L9" s="347">
        <f t="shared" si="0"/>
        <v>2739069</v>
      </c>
      <c r="M9" s="348">
        <v>130</v>
      </c>
      <c r="N9" s="348">
        <v>19</v>
      </c>
      <c r="O9" s="348">
        <v>126</v>
      </c>
      <c r="P9" s="348">
        <v>24</v>
      </c>
      <c r="Q9" s="349">
        <f t="shared" si="1"/>
        <v>128.66666666666669</v>
      </c>
      <c r="R9" s="349">
        <f t="shared" si="1"/>
        <v>20.666666666666664</v>
      </c>
      <c r="S9" s="560"/>
      <c r="T9" s="338">
        <v>20</v>
      </c>
      <c r="U9" s="338">
        <v>27</v>
      </c>
      <c r="W9" s="350"/>
      <c r="X9" s="350"/>
      <c r="Z9" s="351">
        <v>543543</v>
      </c>
      <c r="AA9" s="351">
        <v>252107</v>
      </c>
      <c r="AB9" s="352">
        <v>19</v>
      </c>
      <c r="AC9" s="352">
        <v>24</v>
      </c>
    </row>
    <row r="10" spans="1:29" ht="27.75" customHeight="1" x14ac:dyDescent="0.2">
      <c r="A10" s="338">
        <v>6</v>
      </c>
      <c r="B10" s="345" t="s">
        <v>42</v>
      </c>
      <c r="C10" s="346">
        <v>1981063</v>
      </c>
      <c r="D10" s="346"/>
      <c r="E10" s="346">
        <v>177093</v>
      </c>
      <c r="F10" s="354">
        <v>54599</v>
      </c>
      <c r="G10" s="346">
        <v>4160</v>
      </c>
      <c r="H10" s="346"/>
      <c r="I10" s="346"/>
      <c r="J10" s="346"/>
      <c r="K10" s="346"/>
      <c r="L10" s="347">
        <f t="shared" si="0"/>
        <v>2216915</v>
      </c>
      <c r="M10" s="348">
        <v>175</v>
      </c>
      <c r="N10" s="348"/>
      <c r="O10" s="348">
        <v>195</v>
      </c>
      <c r="P10" s="348"/>
      <c r="Q10" s="349">
        <f t="shared" si="1"/>
        <v>181.66666666666669</v>
      </c>
      <c r="R10" s="349">
        <f t="shared" si="1"/>
        <v>0</v>
      </c>
      <c r="S10" s="560"/>
      <c r="T10" s="338">
        <v>2</v>
      </c>
      <c r="U10" s="338">
        <v>1</v>
      </c>
      <c r="W10" s="350"/>
      <c r="X10" s="350"/>
      <c r="Z10" s="351">
        <v>54599</v>
      </c>
      <c r="AA10" s="351">
        <v>15855</v>
      </c>
      <c r="AB10" s="352">
        <v>0</v>
      </c>
      <c r="AC10" s="352">
        <v>0</v>
      </c>
    </row>
    <row r="11" spans="1:29" ht="27.75" customHeight="1" x14ac:dyDescent="0.2">
      <c r="A11" s="338">
        <v>7</v>
      </c>
      <c r="B11" s="345" t="s">
        <v>43</v>
      </c>
      <c r="C11" s="346">
        <v>3666545</v>
      </c>
      <c r="D11" s="346">
        <v>13500</v>
      </c>
      <c r="E11" s="346">
        <v>170090</v>
      </c>
      <c r="F11" s="346">
        <v>156450</v>
      </c>
      <c r="G11" s="346">
        <v>160</v>
      </c>
      <c r="H11" s="346">
        <v>53952</v>
      </c>
      <c r="I11" s="346"/>
      <c r="J11" s="346"/>
      <c r="K11" s="346"/>
      <c r="L11" s="347">
        <f>SUM(C11:I11)-SUM(J11:K11)</f>
        <v>4060697</v>
      </c>
      <c r="M11" s="348">
        <v>338</v>
      </c>
      <c r="N11" s="348">
        <v>4</v>
      </c>
      <c r="O11" s="348">
        <v>336</v>
      </c>
      <c r="P11" s="348">
        <v>3</v>
      </c>
      <c r="Q11" s="349">
        <f t="shared" si="1"/>
        <v>337.33333333333337</v>
      </c>
      <c r="R11" s="349">
        <f t="shared" si="1"/>
        <v>3.6666666666666665</v>
      </c>
      <c r="S11" s="560"/>
      <c r="T11" s="338">
        <v>7</v>
      </c>
      <c r="U11" s="338">
        <v>6</v>
      </c>
      <c r="W11" s="350"/>
      <c r="X11" s="350"/>
      <c r="Z11" s="351">
        <v>141753</v>
      </c>
      <c r="AA11" s="351">
        <v>74099</v>
      </c>
      <c r="AB11" s="352">
        <v>4</v>
      </c>
      <c r="AC11" s="352">
        <v>3</v>
      </c>
    </row>
    <row r="12" spans="1:29" ht="15.75" customHeight="1" x14ac:dyDescent="0.2">
      <c r="A12" s="357"/>
      <c r="B12" s="358"/>
      <c r="C12" s="359"/>
      <c r="D12" s="359"/>
      <c r="E12" s="359"/>
      <c r="F12" s="359"/>
      <c r="G12" s="359"/>
      <c r="H12" s="359"/>
      <c r="I12" s="359"/>
      <c r="J12" s="359"/>
      <c r="K12" s="359"/>
      <c r="L12" s="360">
        <f>SUM(L5:L11)</f>
        <v>20951442.670000002</v>
      </c>
      <c r="M12" s="361"/>
      <c r="N12" s="361"/>
      <c r="O12" s="361"/>
      <c r="P12" s="361"/>
      <c r="Q12" s="349">
        <f>SUM(Q5:Q11)</f>
        <v>1630.666666666667</v>
      </c>
      <c r="R12" s="349">
        <f t="shared" si="1"/>
        <v>0</v>
      </c>
      <c r="S12" s="362"/>
      <c r="T12" s="338">
        <f>SUM(T5:T11)</f>
        <v>31</v>
      </c>
      <c r="U12" s="338">
        <f>SUM(U5:U11)</f>
        <v>37</v>
      </c>
      <c r="V12" s="350"/>
      <c r="W12" s="350"/>
      <c r="X12" s="350"/>
      <c r="Y12" s="350"/>
      <c r="Z12" s="351"/>
      <c r="AA12" s="351"/>
      <c r="AB12" s="352"/>
      <c r="AC12" s="352"/>
    </row>
    <row r="13" spans="1:29" s="370" customFormat="1" ht="20.25" customHeight="1" x14ac:dyDescent="0.25">
      <c r="A13" s="561" t="s">
        <v>44</v>
      </c>
      <c r="B13" s="562"/>
      <c r="C13" s="363">
        <f>SUM(C5:C11)</f>
        <v>18216289</v>
      </c>
      <c r="D13" s="363">
        <f t="shared" ref="D13:K13" si="2">SUM(D5:D11)</f>
        <v>44896.67</v>
      </c>
      <c r="E13" s="363">
        <f t="shared" si="2"/>
        <v>1757267</v>
      </c>
      <c r="F13" s="363">
        <f t="shared" si="2"/>
        <v>816370</v>
      </c>
      <c r="G13" s="363">
        <f t="shared" si="2"/>
        <v>5280</v>
      </c>
      <c r="H13" s="363">
        <f t="shared" si="2"/>
        <v>111340</v>
      </c>
      <c r="I13" s="363">
        <f t="shared" si="2"/>
        <v>0</v>
      </c>
      <c r="J13" s="363">
        <f t="shared" si="2"/>
        <v>0</v>
      </c>
      <c r="K13" s="363">
        <f t="shared" si="2"/>
        <v>0</v>
      </c>
      <c r="L13" s="364">
        <f>L12-L14</f>
        <v>19824383.100000001</v>
      </c>
      <c r="M13" s="365">
        <f>SUM(M5:M11)</f>
        <v>1629</v>
      </c>
      <c r="N13" s="365">
        <f>SUM(N5:N11)</f>
        <v>26</v>
      </c>
      <c r="O13" s="365">
        <f>SUM(O5:O11)</f>
        <v>1634</v>
      </c>
      <c r="P13" s="365">
        <f>SUM(P5:P11)</f>
        <v>28</v>
      </c>
      <c r="Q13" s="366">
        <f xml:space="preserve"> (M13*2/3+O13*1/3)</f>
        <v>1630.6666666666665</v>
      </c>
      <c r="R13" s="366">
        <f t="shared" si="1"/>
        <v>26.666666666666664</v>
      </c>
      <c r="S13" s="367">
        <f>ROUND(L13/Q14,2)</f>
        <v>12359.34</v>
      </c>
      <c r="T13" s="368"/>
      <c r="U13" s="368"/>
      <c r="V13" s="324"/>
      <c r="W13" s="324"/>
      <c r="X13" s="324"/>
      <c r="Y13" s="324"/>
      <c r="Z13" s="369">
        <f>SUM(Z5:Z12)</f>
        <v>816673</v>
      </c>
      <c r="AA13" s="369">
        <f t="shared" ref="AA13:AC13" si="3">SUM(AA5:AA12)</f>
        <v>543175</v>
      </c>
      <c r="AB13" s="369">
        <f t="shared" si="3"/>
        <v>26</v>
      </c>
      <c r="AC13" s="369">
        <f t="shared" si="3"/>
        <v>28</v>
      </c>
    </row>
    <row r="14" spans="1:29" ht="13.5" customHeight="1" x14ac:dyDescent="0.2">
      <c r="C14" s="563" t="s">
        <v>119</v>
      </c>
      <c r="D14" s="563"/>
      <c r="E14" s="563"/>
      <c r="F14" s="563"/>
      <c r="G14" s="371" t="s">
        <v>80</v>
      </c>
      <c r="H14" s="371"/>
      <c r="I14" s="371"/>
      <c r="J14" s="371"/>
      <c r="K14" s="371"/>
      <c r="L14" s="372">
        <f>F15+H15</f>
        <v>1127059.57</v>
      </c>
      <c r="M14" s="373"/>
      <c r="N14" s="374"/>
      <c r="O14" s="373" t="s">
        <v>144</v>
      </c>
      <c r="P14" s="371"/>
      <c r="Q14" s="367">
        <f>ROUND(Q13-R13,2)</f>
        <v>1604</v>
      </c>
      <c r="R14" s="366"/>
      <c r="S14" s="375"/>
      <c r="W14" s="329"/>
    </row>
    <row r="15" spans="1:29" ht="13.5" customHeight="1" x14ac:dyDescent="0.2">
      <c r="B15" s="378"/>
      <c r="C15" s="379"/>
      <c r="D15" s="379"/>
      <c r="E15" s="374" t="s">
        <v>110</v>
      </c>
      <c r="F15" s="380">
        <v>962616.61</v>
      </c>
      <c r="G15" s="374" t="s">
        <v>91</v>
      </c>
      <c r="H15" s="381">
        <v>164442.96</v>
      </c>
      <c r="I15" s="371"/>
      <c r="J15" s="371"/>
      <c r="K15" s="371"/>
      <c r="L15" s="381"/>
      <c r="M15" s="373"/>
      <c r="N15" s="374"/>
      <c r="O15" s="382" t="s">
        <v>143</v>
      </c>
      <c r="P15" s="383" t="s">
        <v>81</v>
      </c>
      <c r="Q15" s="384">
        <v>12242.33</v>
      </c>
      <c r="R15" s="385" t="s">
        <v>61</v>
      </c>
      <c r="S15" s="367">
        <f>ROUND(S13/12,2)</f>
        <v>1029.95</v>
      </c>
    </row>
    <row r="16" spans="1:29" ht="13.5" customHeight="1" x14ac:dyDescent="0.2">
      <c r="B16" s="378"/>
      <c r="C16" s="386"/>
      <c r="D16" s="386"/>
      <c r="E16" s="387"/>
      <c r="F16" s="388"/>
      <c r="G16" s="389"/>
      <c r="H16" s="390"/>
      <c r="I16" s="391"/>
      <c r="J16" s="391"/>
      <c r="K16" s="391"/>
      <c r="L16" s="390"/>
      <c r="M16" s="392"/>
      <c r="N16" s="389"/>
      <c r="O16" s="382" t="s">
        <v>141</v>
      </c>
      <c r="P16" s="383" t="s">
        <v>81</v>
      </c>
      <c r="Q16" s="384">
        <f>ROUND(S13*0.75,2)</f>
        <v>9269.51</v>
      </c>
      <c r="R16" s="385" t="s">
        <v>61</v>
      </c>
      <c r="S16" s="367">
        <f>ROUND(Q16/12,2)</f>
        <v>772.46</v>
      </c>
      <c r="T16" s="393">
        <f>765.15*12</f>
        <v>9181.7999999999993</v>
      </c>
      <c r="U16" s="394"/>
    </row>
    <row r="17" spans="1:21" ht="12.75" customHeight="1" x14ac:dyDescent="0.2">
      <c r="B17" s="378"/>
      <c r="C17" s="386"/>
      <c r="D17" s="386"/>
      <c r="E17" s="387"/>
      <c r="F17" s="388"/>
      <c r="G17" s="389"/>
      <c r="H17" s="390"/>
      <c r="I17" s="391"/>
      <c r="J17" s="391"/>
      <c r="K17" s="391"/>
      <c r="L17" s="390"/>
      <c r="M17" s="392"/>
      <c r="N17" s="389"/>
      <c r="O17" s="382" t="s">
        <v>142</v>
      </c>
      <c r="P17" s="383" t="s">
        <v>81</v>
      </c>
      <c r="Q17" s="384">
        <f>ROUND(S13*0.4,2)</f>
        <v>4943.74</v>
      </c>
      <c r="R17" s="385" t="s">
        <v>61</v>
      </c>
      <c r="S17" s="367">
        <f>ROUND(Q17/12,2)</f>
        <v>411.98</v>
      </c>
      <c r="T17" s="393">
        <f>408.08*12</f>
        <v>4896.96</v>
      </c>
      <c r="U17" s="394"/>
    </row>
    <row r="18" spans="1:21" s="398" customFormat="1" x14ac:dyDescent="0.2">
      <c r="A18" s="395"/>
      <c r="B18" s="396" t="s">
        <v>132</v>
      </c>
      <c r="C18" s="381">
        <v>1630.67</v>
      </c>
      <c r="D18" s="397"/>
      <c r="E18" s="397"/>
      <c r="F18" s="397"/>
      <c r="G18" s="397"/>
      <c r="H18" s="397"/>
      <c r="I18" s="397"/>
      <c r="L18" s="399">
        <f>C11+D11+E11+F11+G11+H11</f>
        <v>4060697</v>
      </c>
      <c r="S18" s="400"/>
    </row>
    <row r="19" spans="1:21" s="404" customFormat="1" ht="12.75" customHeight="1" x14ac:dyDescent="0.2">
      <c r="A19" s="401"/>
      <c r="B19" s="396" t="s">
        <v>156</v>
      </c>
      <c r="C19" s="381">
        <v>26.67</v>
      </c>
      <c r="D19" s="402"/>
      <c r="E19" s="402"/>
      <c r="F19" s="402"/>
      <c r="G19" s="402"/>
      <c r="H19" s="402"/>
      <c r="I19" s="403"/>
      <c r="S19" s="405"/>
    </row>
    <row r="20" spans="1:21" s="404" customFormat="1" ht="18.75" customHeight="1" x14ac:dyDescent="0.2">
      <c r="A20" s="406"/>
      <c r="B20" s="396" t="s">
        <v>145</v>
      </c>
      <c r="C20" s="381">
        <f>C18-C19</f>
        <v>1604</v>
      </c>
      <c r="I20" s="403"/>
      <c r="L20" s="404">
        <v>2754993</v>
      </c>
      <c r="S20" s="405"/>
    </row>
    <row r="21" spans="1:21" s="404" customFormat="1" x14ac:dyDescent="0.2">
      <c r="A21" s="406"/>
      <c r="B21" s="396" t="s">
        <v>133</v>
      </c>
      <c r="C21" s="381">
        <v>33</v>
      </c>
      <c r="I21" s="403"/>
      <c r="L21" s="407">
        <f>L5-L20</f>
        <v>0</v>
      </c>
      <c r="S21" s="405"/>
    </row>
    <row r="22" spans="1:21" s="404" customFormat="1" ht="16.5" customHeight="1" x14ac:dyDescent="0.2">
      <c r="A22" s="406"/>
      <c r="B22" s="396" t="s">
        <v>155</v>
      </c>
      <c r="C22" s="381">
        <v>20951442.670000002</v>
      </c>
      <c r="I22" s="403"/>
      <c r="S22" s="405"/>
    </row>
    <row r="23" spans="1:21" s="404" customFormat="1" x14ac:dyDescent="0.2">
      <c r="A23" s="406"/>
      <c r="B23" s="396" t="s">
        <v>154</v>
      </c>
      <c r="C23" s="381">
        <v>962616.61</v>
      </c>
      <c r="I23" s="403"/>
      <c r="S23" s="405"/>
    </row>
    <row r="24" spans="1:21" s="404" customFormat="1" x14ac:dyDescent="0.2">
      <c r="A24" s="406"/>
      <c r="B24" s="396" t="s">
        <v>135</v>
      </c>
      <c r="C24" s="381">
        <v>164442.96</v>
      </c>
      <c r="I24" s="403"/>
      <c r="S24" s="405"/>
    </row>
    <row r="25" spans="1:21" x14ac:dyDescent="0.2">
      <c r="B25" s="396" t="s">
        <v>153</v>
      </c>
      <c r="C25" s="381">
        <f>C22-(C23+C24)</f>
        <v>19824383.100000001</v>
      </c>
    </row>
    <row r="26" spans="1:21" x14ac:dyDescent="0.2">
      <c r="B26" s="396" t="s">
        <v>147</v>
      </c>
      <c r="C26" s="381">
        <f>C25/C20</f>
        <v>12359.341084788031</v>
      </c>
      <c r="D26" s="381">
        <f>C26/12</f>
        <v>1029.9450903990025</v>
      </c>
    </row>
    <row r="27" spans="1:21" x14ac:dyDescent="0.2">
      <c r="B27" s="396" t="s">
        <v>149</v>
      </c>
      <c r="C27" s="381">
        <f>(C25/C20)*0.75</f>
        <v>9269.505813591024</v>
      </c>
      <c r="D27" s="381">
        <f t="shared" ref="D27:D28" si="4">C27/12</f>
        <v>772.45881779925196</v>
      </c>
    </row>
    <row r="28" spans="1:21" x14ac:dyDescent="0.2">
      <c r="B28" s="396" t="s">
        <v>148</v>
      </c>
      <c r="C28" s="381">
        <f>(C25/C20)*0.4</f>
        <v>4943.7364339152127</v>
      </c>
      <c r="D28" s="381">
        <f t="shared" si="4"/>
        <v>411.97803615960106</v>
      </c>
    </row>
  </sheetData>
  <mergeCells count="14">
    <mergeCell ref="V2:Y2"/>
    <mergeCell ref="S5:S11"/>
    <mergeCell ref="A13:B13"/>
    <mergeCell ref="C14:F14"/>
    <mergeCell ref="A1:S1"/>
    <mergeCell ref="A2:A3"/>
    <mergeCell ref="B2:B3"/>
    <mergeCell ref="C2:I2"/>
    <mergeCell ref="J2:K2"/>
    <mergeCell ref="L2:L3"/>
    <mergeCell ref="M2:P2"/>
    <mergeCell ref="Q2:Q3"/>
    <mergeCell ref="R2:R3"/>
    <mergeCell ref="S2:S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&amp;LUrszula Dobrowolska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3DBE-77D5-4439-AA2B-716AA83DF897}">
  <sheetPr>
    <pageSetUpPr fitToPage="1"/>
  </sheetPr>
  <dimension ref="A1:AK33"/>
  <sheetViews>
    <sheetView zoomScale="96" zoomScaleNormal="96" workbookViewId="0">
      <selection activeCell="Y21" sqref="A1:Y21"/>
    </sheetView>
  </sheetViews>
  <sheetFormatPr defaultRowHeight="15" x14ac:dyDescent="0.25"/>
  <cols>
    <col min="1" max="1" width="13.85546875" style="27" customWidth="1"/>
    <col min="2" max="2" width="8.85546875" style="27" customWidth="1"/>
    <col min="3" max="3" width="10.5703125" style="27" customWidth="1"/>
    <col min="4" max="4" width="9.28515625" style="27" customWidth="1"/>
    <col min="5" max="5" width="9.5703125" style="27" customWidth="1"/>
    <col min="6" max="6" width="8.7109375" style="27" customWidth="1"/>
    <col min="7" max="7" width="9.85546875" style="27" customWidth="1"/>
    <col min="8" max="8" width="10" style="27" customWidth="1"/>
    <col min="9" max="9" width="10.5703125" style="27" customWidth="1"/>
    <col min="10" max="10" width="10.28515625" style="27" customWidth="1"/>
    <col min="11" max="11" width="9.140625" style="27" customWidth="1"/>
    <col min="12" max="12" width="10.140625" style="27" customWidth="1"/>
    <col min="13" max="13" width="9.85546875" style="27" customWidth="1"/>
    <col min="14" max="14" width="9.7109375" style="27" customWidth="1"/>
    <col min="15" max="15" width="10.5703125" style="27" customWidth="1"/>
    <col min="16" max="16" width="10.85546875" style="27" customWidth="1"/>
    <col min="17" max="17" width="10.140625" style="27" customWidth="1"/>
    <col min="18" max="18" width="10.5703125" style="27" customWidth="1"/>
    <col min="19" max="19" width="10.85546875" style="27" customWidth="1"/>
    <col min="20" max="20" width="9.7109375" style="27" customWidth="1"/>
    <col min="21" max="21" width="10.7109375" style="27" customWidth="1"/>
    <col min="22" max="22" width="9.28515625" style="27" customWidth="1"/>
    <col min="23" max="23" width="9" style="27" customWidth="1"/>
    <col min="24" max="24" width="9.140625" style="27" customWidth="1"/>
    <col min="25" max="25" width="9" style="27" customWidth="1"/>
    <col min="26" max="26" width="9.5703125" style="26" hidden="1" customWidth="1"/>
    <col min="27" max="27" width="16.7109375" style="27" hidden="1" customWidth="1"/>
    <col min="28" max="28" width="0" style="27" hidden="1" customWidth="1"/>
    <col min="29" max="29" width="11.5703125" style="27" hidden="1" customWidth="1"/>
    <col min="30" max="35" width="0" style="27" hidden="1" customWidth="1"/>
    <col min="36" max="16384" width="9.140625" style="27"/>
  </cols>
  <sheetData>
    <row r="1" spans="1:37" x14ac:dyDescent="0.25">
      <c r="A1" s="81" t="s">
        <v>204</v>
      </c>
      <c r="B1" s="81"/>
      <c r="C1" s="81"/>
      <c r="D1" s="8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37" x14ac:dyDescent="0.25">
      <c r="A2" s="320" t="s">
        <v>203</v>
      </c>
      <c r="B2" s="320"/>
      <c r="C2" s="320"/>
      <c r="D2" s="258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46"/>
      <c r="AA2" s="28"/>
      <c r="AB2" s="28"/>
      <c r="AC2" s="28"/>
      <c r="AD2" s="28"/>
      <c r="AE2" s="28"/>
      <c r="AF2" s="28"/>
      <c r="AG2" s="28"/>
      <c r="AH2" s="28"/>
      <c r="AI2" s="28"/>
    </row>
    <row r="3" spans="1:37" s="48" customFormat="1" ht="21.75" customHeight="1" x14ac:dyDescent="0.25">
      <c r="A3" s="322" t="s">
        <v>202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268"/>
      <c r="Z3" s="47"/>
      <c r="AA3" s="29"/>
      <c r="AB3" s="29"/>
      <c r="AC3" s="29"/>
      <c r="AD3" s="29"/>
      <c r="AE3" s="29"/>
      <c r="AF3" s="29"/>
      <c r="AG3" s="29"/>
      <c r="AH3" s="29"/>
      <c r="AI3" s="29"/>
    </row>
    <row r="4" spans="1:37" s="51" customFormat="1" ht="132.75" customHeight="1" x14ac:dyDescent="0.2">
      <c r="A4" s="49"/>
      <c r="B4" s="576" t="s">
        <v>98</v>
      </c>
      <c r="C4" s="577"/>
      <c r="D4" s="578"/>
      <c r="E4" s="574" t="s">
        <v>99</v>
      </c>
      <c r="F4" s="575"/>
      <c r="G4" s="579"/>
      <c r="H4" s="576" t="s">
        <v>182</v>
      </c>
      <c r="I4" s="577"/>
      <c r="J4" s="578"/>
      <c r="K4" s="574" t="s">
        <v>101</v>
      </c>
      <c r="L4" s="575"/>
      <c r="M4" s="579"/>
      <c r="N4" s="576" t="s">
        <v>196</v>
      </c>
      <c r="O4" s="577"/>
      <c r="P4" s="578"/>
      <c r="Q4" s="574" t="s">
        <v>197</v>
      </c>
      <c r="R4" s="575"/>
      <c r="S4" s="575"/>
      <c r="T4" s="576" t="s">
        <v>200</v>
      </c>
      <c r="U4" s="577"/>
      <c r="V4" s="577"/>
      <c r="W4" s="571" t="s">
        <v>201</v>
      </c>
      <c r="X4" s="572"/>
      <c r="Y4" s="573"/>
      <c r="Z4" s="50"/>
      <c r="AA4" s="30"/>
      <c r="AB4" s="30"/>
      <c r="AC4" s="30"/>
      <c r="AD4" s="30"/>
      <c r="AE4" s="30"/>
      <c r="AF4" s="30"/>
      <c r="AG4" s="30"/>
      <c r="AH4" s="30"/>
      <c r="AI4" s="30"/>
    </row>
    <row r="5" spans="1:37" s="51" customFormat="1" ht="12" x14ac:dyDescent="0.2">
      <c r="A5" s="49"/>
      <c r="B5" s="261"/>
      <c r="C5" s="262"/>
      <c r="D5" s="267" t="s">
        <v>152</v>
      </c>
      <c r="E5" s="263"/>
      <c r="F5" s="264"/>
      <c r="G5" s="266" t="s">
        <v>152</v>
      </c>
      <c r="H5" s="261"/>
      <c r="I5" s="262"/>
      <c r="J5" s="267" t="s">
        <v>152</v>
      </c>
      <c r="K5" s="263"/>
      <c r="L5" s="264"/>
      <c r="M5" s="266" t="s">
        <v>152</v>
      </c>
      <c r="N5" s="261"/>
      <c r="O5" s="262"/>
      <c r="P5" s="267" t="s">
        <v>152</v>
      </c>
      <c r="Q5" s="265"/>
      <c r="R5" s="266"/>
      <c r="S5" s="266" t="s">
        <v>152</v>
      </c>
      <c r="T5" s="271">
        <v>0.75</v>
      </c>
      <c r="U5" s="267"/>
      <c r="V5" s="267" t="s">
        <v>152</v>
      </c>
      <c r="W5" s="272">
        <v>0.4</v>
      </c>
      <c r="X5" s="269"/>
      <c r="Y5" s="270" t="s">
        <v>152</v>
      </c>
      <c r="Z5" s="50"/>
      <c r="AA5" s="30"/>
      <c r="AB5" s="30"/>
      <c r="AC5" s="30"/>
      <c r="AD5" s="30"/>
      <c r="AE5" s="30"/>
      <c r="AF5" s="30"/>
      <c r="AG5" s="30"/>
      <c r="AH5" s="30"/>
      <c r="AI5" s="30"/>
    </row>
    <row r="6" spans="1:37" s="282" customFormat="1" ht="21" customHeight="1" x14ac:dyDescent="0.2">
      <c r="A6" s="273" t="s">
        <v>0</v>
      </c>
      <c r="B6" s="274">
        <v>4521.32</v>
      </c>
      <c r="C6" s="275">
        <f>ROUND(B$6/12,2)</f>
        <v>376.78</v>
      </c>
      <c r="D6" s="275">
        <v>370.77</v>
      </c>
      <c r="E6" s="276">
        <v>3978.76</v>
      </c>
      <c r="F6" s="277">
        <f>ROUND(E$6/12,2)</f>
        <v>331.56</v>
      </c>
      <c r="G6" s="277">
        <v>326.27999999999997</v>
      </c>
      <c r="H6" s="275">
        <v>57270.03</v>
      </c>
      <c r="I6" s="275">
        <f>ROUND(H$6/12,2)</f>
        <v>4772.5</v>
      </c>
      <c r="J6" s="419">
        <v>4696.3900000000003</v>
      </c>
      <c r="K6" s="277">
        <v>5063.88</v>
      </c>
      <c r="L6" s="277">
        <f>ROUND(K$6/12,2)</f>
        <v>421.99</v>
      </c>
      <c r="M6" s="277">
        <v>415.26</v>
      </c>
      <c r="N6" s="275">
        <v>17482.43</v>
      </c>
      <c r="O6" s="275">
        <f>ROUND(N$6/12,2)</f>
        <v>1456.87</v>
      </c>
      <c r="P6" s="275">
        <v>1433.64</v>
      </c>
      <c r="Q6" s="277">
        <v>22003.75</v>
      </c>
      <c r="R6" s="277">
        <f>ROUND(Q$6/12,2)</f>
        <v>1833.65</v>
      </c>
      <c r="S6" s="277">
        <v>1779.69</v>
      </c>
      <c r="T6" s="275">
        <v>10141.030000000001</v>
      </c>
      <c r="U6" s="275">
        <f>ROUND(T$6/12,2)</f>
        <v>845.09</v>
      </c>
      <c r="V6" s="275">
        <v>844.79</v>
      </c>
      <c r="W6" s="279">
        <v>5408.55</v>
      </c>
      <c r="X6" s="279">
        <f>ROUND(W$6/12,2)</f>
        <v>450.71</v>
      </c>
      <c r="Y6" s="279">
        <v>450.55</v>
      </c>
      <c r="Z6" s="280">
        <v>17</v>
      </c>
      <c r="AA6" s="281">
        <v>146.11000000000001</v>
      </c>
      <c r="AB6" s="281"/>
      <c r="AC6" s="281"/>
      <c r="AD6" s="281"/>
      <c r="AE6" s="281"/>
      <c r="AF6" s="281"/>
      <c r="AG6" s="281"/>
      <c r="AH6" s="281"/>
      <c r="AI6" s="281"/>
    </row>
    <row r="7" spans="1:37" s="282" customFormat="1" ht="21" customHeight="1" x14ac:dyDescent="0.2">
      <c r="A7" s="283" t="s">
        <v>1</v>
      </c>
      <c r="B7" s="284"/>
      <c r="C7" s="275">
        <f t="shared" ref="C7:C19" si="0">ROUND(B$6/12,2)</f>
        <v>376.78</v>
      </c>
      <c r="D7" s="275">
        <v>370.77</v>
      </c>
      <c r="E7" s="285"/>
      <c r="F7" s="277">
        <f>ROUND(E$6/12,2)</f>
        <v>331.56</v>
      </c>
      <c r="G7" s="277">
        <v>326.27999999999997</v>
      </c>
      <c r="H7" s="284"/>
      <c r="I7" s="275">
        <f t="shared" ref="I7:I19" si="1">ROUND(H$6/12,2)</f>
        <v>4772.5</v>
      </c>
      <c r="J7" s="419">
        <v>4696.3900000000003</v>
      </c>
      <c r="K7" s="285"/>
      <c r="L7" s="277">
        <f t="shared" ref="L7:L16" si="2">ROUND(K$6/12,2)</f>
        <v>421.99</v>
      </c>
      <c r="M7" s="277">
        <v>415.26</v>
      </c>
      <c r="N7" s="284"/>
      <c r="O7" s="275">
        <f t="shared" ref="O7:O16" si="3">ROUND(N$6/12,2)</f>
        <v>1456.87</v>
      </c>
      <c r="P7" s="275">
        <v>1433.64</v>
      </c>
      <c r="Q7" s="285"/>
      <c r="R7" s="277">
        <f>ROUND(Q$6/12,2)</f>
        <v>1833.65</v>
      </c>
      <c r="S7" s="277">
        <v>1779.69</v>
      </c>
      <c r="T7" s="284"/>
      <c r="U7" s="275">
        <f>ROUND(T$6/12,2)</f>
        <v>845.09</v>
      </c>
      <c r="V7" s="275">
        <v>844.79</v>
      </c>
      <c r="W7" s="285"/>
      <c r="X7" s="279">
        <f>ROUND(W$6/12,2)</f>
        <v>450.71</v>
      </c>
      <c r="Y7" s="279">
        <v>450.55</v>
      </c>
      <c r="Z7" s="280"/>
      <c r="AA7" s="281">
        <v>146.11000000000001</v>
      </c>
      <c r="AB7" s="281"/>
      <c r="AC7" s="281"/>
      <c r="AD7" s="281"/>
      <c r="AE7" s="281"/>
      <c r="AF7" s="281"/>
      <c r="AG7" s="281"/>
      <c r="AH7" s="281"/>
      <c r="AI7" s="281"/>
      <c r="AK7" s="281"/>
    </row>
    <row r="8" spans="1:37" s="282" customFormat="1" ht="21" customHeight="1" thickBot="1" x14ac:dyDescent="0.3">
      <c r="A8" s="286" t="s">
        <v>90</v>
      </c>
      <c r="B8" s="287"/>
      <c r="C8" s="275">
        <f t="shared" si="0"/>
        <v>376.78</v>
      </c>
      <c r="D8" s="275">
        <f>376.78+12.02</f>
        <v>388.79999999999995</v>
      </c>
      <c r="E8" s="288"/>
      <c r="F8" s="277">
        <f>ROUND(E$6/12,2)</f>
        <v>331.56</v>
      </c>
      <c r="G8" s="277">
        <f>331.56+10.56</f>
        <v>342.12</v>
      </c>
      <c r="H8" s="287"/>
      <c r="I8" s="275">
        <f t="shared" si="1"/>
        <v>4772.5</v>
      </c>
      <c r="J8" s="419">
        <f>4772.5+152.22</f>
        <v>4924.72</v>
      </c>
      <c r="K8" s="288"/>
      <c r="L8" s="277">
        <f t="shared" si="2"/>
        <v>421.99</v>
      </c>
      <c r="M8" s="277">
        <f>421.99+6.73+6.73</f>
        <v>435.45000000000005</v>
      </c>
      <c r="N8" s="287"/>
      <c r="O8" s="275">
        <f t="shared" si="3"/>
        <v>1456.87</v>
      </c>
      <c r="P8" s="275">
        <f>1456.87+46.46</f>
        <v>1503.33</v>
      </c>
      <c r="Q8" s="288"/>
      <c r="R8" s="277">
        <f>ROUND(Q$6/12,2)</f>
        <v>1833.65</v>
      </c>
      <c r="S8" s="277">
        <f>1833.65+107.92</f>
        <v>1941.5700000000002</v>
      </c>
      <c r="T8" s="287"/>
      <c r="U8" s="275">
        <f>ROUND(T$6/12,2)</f>
        <v>845.09</v>
      </c>
      <c r="V8" s="275">
        <f>845.09+0.6</f>
        <v>845.69</v>
      </c>
      <c r="W8" s="288"/>
      <c r="X8" s="279">
        <f>ROUND(W$6/12,2)</f>
        <v>450.71</v>
      </c>
      <c r="Y8" s="279">
        <f>450.71+0.32</f>
        <v>451.03</v>
      </c>
      <c r="Z8" s="280"/>
      <c r="AA8" t="s">
        <v>159</v>
      </c>
      <c r="AB8"/>
      <c r="AC8">
        <v>9269.51</v>
      </c>
      <c r="AD8" s="281"/>
      <c r="AE8" s="281"/>
      <c r="AF8" s="281"/>
      <c r="AG8" s="281"/>
      <c r="AH8" s="281"/>
      <c r="AI8" s="281"/>
      <c r="AK8" s="281"/>
    </row>
    <row r="9" spans="1:37" s="282" customFormat="1" ht="23.25" customHeight="1" thickBot="1" x14ac:dyDescent="0.3">
      <c r="A9" s="289" t="s">
        <v>93</v>
      </c>
      <c r="B9" s="290"/>
      <c r="C9" s="291">
        <f>SUM(C6:C8)</f>
        <v>1130.3399999999999</v>
      </c>
      <c r="D9" s="291">
        <f>SUM(D6:D8)</f>
        <v>1130.3399999999999</v>
      </c>
      <c r="E9" s="292"/>
      <c r="F9" s="293">
        <f t="shared" ref="F9:Y9" si="4">SUM(F6:F8)</f>
        <v>994.68000000000006</v>
      </c>
      <c r="G9" s="293">
        <f t="shared" si="4"/>
        <v>994.68</v>
      </c>
      <c r="H9" s="291"/>
      <c r="I9" s="291">
        <f t="shared" si="4"/>
        <v>14317.5</v>
      </c>
      <c r="J9" s="420">
        <f>SUM(J6:J8)</f>
        <v>14317.5</v>
      </c>
      <c r="K9" s="292"/>
      <c r="L9" s="293">
        <f t="shared" si="4"/>
        <v>1265.97</v>
      </c>
      <c r="M9" s="293">
        <f t="shared" si="4"/>
        <v>1265.97</v>
      </c>
      <c r="N9" s="291"/>
      <c r="O9" s="291">
        <f t="shared" si="4"/>
        <v>4370.6099999999997</v>
      </c>
      <c r="P9" s="291">
        <f t="shared" si="4"/>
        <v>4370.6100000000006</v>
      </c>
      <c r="Q9" s="292"/>
      <c r="R9" s="293">
        <f t="shared" ref="R9" si="5">SUM(R6:R8)</f>
        <v>5500.9500000000007</v>
      </c>
      <c r="S9" s="293">
        <f t="shared" ref="S9" si="6">SUM(S6:S8)</f>
        <v>5500.9500000000007</v>
      </c>
      <c r="T9" s="291"/>
      <c r="U9" s="291">
        <f t="shared" ref="U9" si="7">SUM(U6:U8)</f>
        <v>2535.27</v>
      </c>
      <c r="V9" s="291">
        <f t="shared" ref="V9" si="8">SUM(V6:V8)</f>
        <v>2535.27</v>
      </c>
      <c r="W9" s="292"/>
      <c r="X9" s="292">
        <f t="shared" si="4"/>
        <v>1352.1299999999999</v>
      </c>
      <c r="Y9" s="292">
        <f t="shared" si="4"/>
        <v>1352.13</v>
      </c>
      <c r="Z9" s="280"/>
      <c r="AA9">
        <v>767.86</v>
      </c>
      <c r="AB9">
        <v>10</v>
      </c>
      <c r="AC9">
        <f>AA9*AB9</f>
        <v>7678.6</v>
      </c>
      <c r="AD9" s="281"/>
      <c r="AE9" s="281"/>
      <c r="AF9" s="281"/>
      <c r="AG9" s="281"/>
      <c r="AH9" s="281"/>
      <c r="AI9" s="281"/>
      <c r="AK9" s="281"/>
    </row>
    <row r="10" spans="1:37" s="282" customFormat="1" ht="21" customHeight="1" x14ac:dyDescent="0.25">
      <c r="A10" s="294" t="s">
        <v>2</v>
      </c>
      <c r="B10" s="275"/>
      <c r="C10" s="275">
        <f>ROUND(B$6/12,2)</f>
        <v>376.78</v>
      </c>
      <c r="D10" s="275"/>
      <c r="E10" s="279"/>
      <c r="F10" s="277">
        <f t="shared" ref="F10:F16" si="9">ROUND(E$6/12,2)</f>
        <v>331.56</v>
      </c>
      <c r="G10" s="295"/>
      <c r="H10" s="296"/>
      <c r="I10" s="275">
        <f t="shared" si="1"/>
        <v>4772.5</v>
      </c>
      <c r="J10" s="419"/>
      <c r="K10" s="279"/>
      <c r="L10" s="277">
        <f t="shared" si="2"/>
        <v>421.99</v>
      </c>
      <c r="M10" s="277"/>
      <c r="N10" s="275"/>
      <c r="O10" s="275">
        <f t="shared" si="3"/>
        <v>1456.87</v>
      </c>
      <c r="P10" s="275"/>
      <c r="Q10" s="279"/>
      <c r="R10" s="277">
        <f t="shared" ref="R10:R16" si="10">ROUND(Q$6/12,2)</f>
        <v>1833.65</v>
      </c>
      <c r="S10" s="277"/>
      <c r="T10" s="275"/>
      <c r="U10" s="275">
        <f t="shared" ref="U10:U16" si="11">ROUND(T$6/12,2)</f>
        <v>845.09</v>
      </c>
      <c r="V10" s="275"/>
      <c r="W10" s="279"/>
      <c r="X10" s="279">
        <f t="shared" ref="X10:X16" si="12">ROUND(W$6/12,2)</f>
        <v>450.71</v>
      </c>
      <c r="Y10" s="279"/>
      <c r="Z10" s="280"/>
      <c r="AA10"/>
      <c r="AB10"/>
      <c r="AC10"/>
      <c r="AD10" s="281"/>
      <c r="AE10" s="281"/>
      <c r="AF10" s="281"/>
      <c r="AG10" s="281"/>
      <c r="AH10" s="281"/>
      <c r="AI10" s="281"/>
      <c r="AK10" s="281"/>
    </row>
    <row r="11" spans="1:37" s="282" customFormat="1" ht="21" customHeight="1" x14ac:dyDescent="0.25">
      <c r="A11" s="297" t="s">
        <v>3</v>
      </c>
      <c r="B11" s="298"/>
      <c r="C11" s="275">
        <f t="shared" si="0"/>
        <v>376.78</v>
      </c>
      <c r="D11" s="275"/>
      <c r="E11" s="299"/>
      <c r="F11" s="277">
        <f t="shared" si="9"/>
        <v>331.56</v>
      </c>
      <c r="G11" s="295"/>
      <c r="H11" s="300"/>
      <c r="I11" s="275">
        <f t="shared" si="1"/>
        <v>4772.5</v>
      </c>
      <c r="J11" s="419"/>
      <c r="K11" s="299"/>
      <c r="L11" s="277">
        <f t="shared" si="2"/>
        <v>421.99</v>
      </c>
      <c r="M11" s="277"/>
      <c r="N11" s="298"/>
      <c r="O11" s="275">
        <f t="shared" si="3"/>
        <v>1456.87</v>
      </c>
      <c r="P11" s="275"/>
      <c r="Q11" s="299"/>
      <c r="R11" s="277">
        <f t="shared" si="10"/>
        <v>1833.65</v>
      </c>
      <c r="S11" s="277"/>
      <c r="T11" s="298"/>
      <c r="U11" s="275">
        <f t="shared" si="11"/>
        <v>845.09</v>
      </c>
      <c r="V11" s="275"/>
      <c r="W11" s="299"/>
      <c r="X11" s="279">
        <f t="shared" si="12"/>
        <v>450.71</v>
      </c>
      <c r="Y11" s="279"/>
      <c r="Z11" s="280"/>
      <c r="AA11"/>
      <c r="AB11"/>
      <c r="AC11">
        <f>AC8-AC9</f>
        <v>1590.9099999999999</v>
      </c>
      <c r="AD11" s="281"/>
      <c r="AE11" s="281"/>
      <c r="AF11" s="281"/>
      <c r="AG11" s="281"/>
      <c r="AH11" s="281"/>
      <c r="AI11" s="281"/>
    </row>
    <row r="12" spans="1:37" s="282" customFormat="1" ht="21" customHeight="1" x14ac:dyDescent="0.2">
      <c r="A12" s="297" t="s">
        <v>23</v>
      </c>
      <c r="B12" s="275"/>
      <c r="C12" s="275">
        <f t="shared" si="0"/>
        <v>376.78</v>
      </c>
      <c r="D12" s="275"/>
      <c r="E12" s="299"/>
      <c r="F12" s="277">
        <f t="shared" si="9"/>
        <v>331.56</v>
      </c>
      <c r="G12" s="295"/>
      <c r="H12" s="300"/>
      <c r="I12" s="275">
        <f t="shared" si="1"/>
        <v>4772.5</v>
      </c>
      <c r="J12" s="419"/>
      <c r="K12" s="299"/>
      <c r="L12" s="277">
        <f t="shared" si="2"/>
        <v>421.99</v>
      </c>
      <c r="M12" s="277"/>
      <c r="N12" s="300"/>
      <c r="O12" s="275">
        <f t="shared" si="3"/>
        <v>1456.87</v>
      </c>
      <c r="P12" s="275"/>
      <c r="Q12" s="299"/>
      <c r="R12" s="277">
        <f t="shared" si="10"/>
        <v>1833.65</v>
      </c>
      <c r="S12" s="277"/>
      <c r="T12" s="298"/>
      <c r="U12" s="275">
        <f t="shared" si="11"/>
        <v>845.09</v>
      </c>
      <c r="V12" s="275"/>
      <c r="W12" s="299"/>
      <c r="X12" s="279">
        <f t="shared" si="12"/>
        <v>450.71</v>
      </c>
      <c r="Y12" s="279"/>
      <c r="Z12" s="301" t="e">
        <f>ROUND(#REF!/10,2)</f>
        <v>#REF!</v>
      </c>
      <c r="AA12" s="281"/>
      <c r="AB12" s="281"/>
      <c r="AC12" s="281"/>
      <c r="AD12" s="281"/>
      <c r="AE12" s="281"/>
      <c r="AF12" s="281"/>
      <c r="AG12" s="281"/>
      <c r="AH12" s="281"/>
      <c r="AI12" s="281"/>
    </row>
    <row r="13" spans="1:37" s="282" customFormat="1" ht="21" customHeight="1" x14ac:dyDescent="0.2">
      <c r="A13" s="297" t="s">
        <v>4</v>
      </c>
      <c r="B13" s="275"/>
      <c r="C13" s="275">
        <f t="shared" si="0"/>
        <v>376.78</v>
      </c>
      <c r="D13" s="275"/>
      <c r="E13" s="299"/>
      <c r="F13" s="277">
        <f t="shared" si="9"/>
        <v>331.56</v>
      </c>
      <c r="G13" s="295"/>
      <c r="H13" s="300"/>
      <c r="I13" s="275">
        <f t="shared" si="1"/>
        <v>4772.5</v>
      </c>
      <c r="J13" s="419"/>
      <c r="K13" s="299"/>
      <c r="L13" s="277">
        <f t="shared" si="2"/>
        <v>421.99</v>
      </c>
      <c r="M13" s="277"/>
      <c r="N13" s="300"/>
      <c r="O13" s="275">
        <f t="shared" si="3"/>
        <v>1456.87</v>
      </c>
      <c r="P13" s="275"/>
      <c r="Q13" s="299"/>
      <c r="R13" s="277">
        <f t="shared" si="10"/>
        <v>1833.65</v>
      </c>
      <c r="S13" s="277"/>
      <c r="T13" s="298"/>
      <c r="U13" s="275">
        <f t="shared" si="11"/>
        <v>845.09</v>
      </c>
      <c r="V13" s="275"/>
      <c r="W13" s="299"/>
      <c r="X13" s="279">
        <f t="shared" si="12"/>
        <v>450.71</v>
      </c>
      <c r="Y13" s="279"/>
      <c r="Z13" s="301" t="e">
        <f>ROUND(Z12*1.5,2)</f>
        <v>#REF!</v>
      </c>
      <c r="AA13" s="281" t="s">
        <v>21</v>
      </c>
      <c r="AB13" s="281"/>
      <c r="AC13" s="281"/>
      <c r="AD13" s="281"/>
      <c r="AE13" s="281"/>
      <c r="AF13" s="281"/>
      <c r="AG13" s="281"/>
      <c r="AH13" s="281"/>
      <c r="AI13" s="281"/>
    </row>
    <row r="14" spans="1:37" s="282" customFormat="1" ht="21" customHeight="1" x14ac:dyDescent="0.2">
      <c r="A14" s="297" t="s">
        <v>5</v>
      </c>
      <c r="B14" s="275"/>
      <c r="C14" s="275">
        <f t="shared" si="0"/>
        <v>376.78</v>
      </c>
      <c r="D14" s="275"/>
      <c r="E14" s="299"/>
      <c r="F14" s="277">
        <f t="shared" si="9"/>
        <v>331.56</v>
      </c>
      <c r="G14" s="295"/>
      <c r="H14" s="300"/>
      <c r="I14" s="275">
        <f t="shared" si="1"/>
        <v>4772.5</v>
      </c>
      <c r="J14" s="419"/>
      <c r="K14" s="299"/>
      <c r="L14" s="277">
        <f t="shared" si="2"/>
        <v>421.99</v>
      </c>
      <c r="M14" s="277"/>
      <c r="N14" s="300"/>
      <c r="O14" s="275">
        <f t="shared" si="3"/>
        <v>1456.87</v>
      </c>
      <c r="P14" s="275"/>
      <c r="Q14" s="299"/>
      <c r="R14" s="277">
        <f t="shared" si="10"/>
        <v>1833.65</v>
      </c>
      <c r="S14" s="277"/>
      <c r="T14" s="298"/>
      <c r="U14" s="275">
        <f t="shared" si="11"/>
        <v>845.09</v>
      </c>
      <c r="V14" s="275"/>
      <c r="W14" s="299"/>
      <c r="X14" s="279">
        <f t="shared" si="12"/>
        <v>450.71</v>
      </c>
      <c r="Y14" s="279"/>
      <c r="Z14" s="301" t="e">
        <f>ROUND(Z12*0.75,2)</f>
        <v>#REF!</v>
      </c>
      <c r="AA14" s="281" t="s">
        <v>28</v>
      </c>
      <c r="AB14" s="281"/>
      <c r="AC14" s="281"/>
      <c r="AD14" s="281"/>
      <c r="AE14" s="281"/>
      <c r="AF14" s="281"/>
      <c r="AG14" s="281"/>
      <c r="AH14" s="281"/>
      <c r="AI14" s="281"/>
    </row>
    <row r="15" spans="1:37" s="282" customFormat="1" ht="21" customHeight="1" x14ac:dyDescent="0.2">
      <c r="A15" s="297" t="s">
        <v>6</v>
      </c>
      <c r="B15" s="275"/>
      <c r="C15" s="275">
        <f t="shared" si="0"/>
        <v>376.78</v>
      </c>
      <c r="D15" s="275"/>
      <c r="E15" s="299"/>
      <c r="F15" s="277">
        <f t="shared" si="9"/>
        <v>331.56</v>
      </c>
      <c r="G15" s="295"/>
      <c r="H15" s="300"/>
      <c r="I15" s="275">
        <f t="shared" si="1"/>
        <v>4772.5</v>
      </c>
      <c r="J15" s="419"/>
      <c r="K15" s="299"/>
      <c r="L15" s="277">
        <f t="shared" si="2"/>
        <v>421.99</v>
      </c>
      <c r="M15" s="277"/>
      <c r="N15" s="302"/>
      <c r="O15" s="275">
        <f t="shared" si="3"/>
        <v>1456.87</v>
      </c>
      <c r="P15" s="275"/>
      <c r="Q15" s="299"/>
      <c r="R15" s="277">
        <f t="shared" si="10"/>
        <v>1833.65</v>
      </c>
      <c r="S15" s="277"/>
      <c r="T15" s="298"/>
      <c r="U15" s="275">
        <f t="shared" si="11"/>
        <v>845.09</v>
      </c>
      <c r="V15" s="275"/>
      <c r="W15" s="299"/>
      <c r="X15" s="279">
        <f t="shared" si="12"/>
        <v>450.71</v>
      </c>
      <c r="Y15" s="279"/>
      <c r="Z15" s="280"/>
      <c r="AA15" s="281"/>
      <c r="AB15" s="281"/>
      <c r="AC15" s="281"/>
      <c r="AD15" s="281"/>
      <c r="AE15" s="281"/>
      <c r="AF15" s="281"/>
      <c r="AG15" s="281"/>
      <c r="AH15" s="281"/>
      <c r="AI15" s="281"/>
    </row>
    <row r="16" spans="1:37" s="282" customFormat="1" ht="21" customHeight="1" thickBot="1" x14ac:dyDescent="0.25">
      <c r="A16" s="283" t="s">
        <v>7</v>
      </c>
      <c r="B16" s="303"/>
      <c r="C16" s="275">
        <f t="shared" si="0"/>
        <v>376.78</v>
      </c>
      <c r="D16" s="275"/>
      <c r="E16" s="304"/>
      <c r="F16" s="277">
        <f t="shared" si="9"/>
        <v>331.56</v>
      </c>
      <c r="G16" s="295"/>
      <c r="H16" s="300"/>
      <c r="I16" s="275">
        <f t="shared" si="1"/>
        <v>4772.5</v>
      </c>
      <c r="J16" s="419"/>
      <c r="K16" s="304"/>
      <c r="L16" s="277">
        <f t="shared" si="2"/>
        <v>421.99</v>
      </c>
      <c r="M16" s="277"/>
      <c r="N16" s="303"/>
      <c r="O16" s="275">
        <f t="shared" si="3"/>
        <v>1456.87</v>
      </c>
      <c r="P16" s="275"/>
      <c r="Q16" s="304"/>
      <c r="R16" s="277">
        <f t="shared" si="10"/>
        <v>1833.65</v>
      </c>
      <c r="S16" s="277"/>
      <c r="T16" s="303"/>
      <c r="U16" s="275">
        <f t="shared" si="11"/>
        <v>845.09</v>
      </c>
      <c r="V16" s="275"/>
      <c r="W16" s="304"/>
      <c r="X16" s="279">
        <f t="shared" si="12"/>
        <v>450.71</v>
      </c>
      <c r="Y16" s="279"/>
      <c r="Z16" s="280"/>
      <c r="AA16" s="305" t="s">
        <v>25</v>
      </c>
      <c r="AB16" s="281"/>
      <c r="AC16" s="281"/>
      <c r="AD16" s="281"/>
      <c r="AE16" s="281"/>
      <c r="AF16" s="281"/>
      <c r="AG16" s="281"/>
      <c r="AH16" s="281"/>
      <c r="AI16" s="281"/>
    </row>
    <row r="17" spans="1:35" s="282" customFormat="1" ht="21" customHeight="1" thickBot="1" x14ac:dyDescent="0.25">
      <c r="A17" s="289" t="s">
        <v>22</v>
      </c>
      <c r="B17" s="306"/>
      <c r="C17" s="291">
        <f>SUM(C9:C16)</f>
        <v>3767.7999999999993</v>
      </c>
      <c r="D17" s="291">
        <f t="shared" ref="D17:Y17" si="13">SUM(D9:D16)</f>
        <v>1130.3399999999999</v>
      </c>
      <c r="E17" s="292"/>
      <c r="F17" s="293">
        <f t="shared" si="13"/>
        <v>3315.6</v>
      </c>
      <c r="G17" s="293">
        <f t="shared" si="13"/>
        <v>994.68</v>
      </c>
      <c r="H17" s="291"/>
      <c r="I17" s="291">
        <f t="shared" si="13"/>
        <v>47725</v>
      </c>
      <c r="J17" s="420">
        <f>SUM(J9:J16)</f>
        <v>14317.5</v>
      </c>
      <c r="K17" s="292"/>
      <c r="L17" s="293">
        <f t="shared" si="13"/>
        <v>4219.8999999999987</v>
      </c>
      <c r="M17" s="293">
        <f t="shared" si="13"/>
        <v>1265.97</v>
      </c>
      <c r="N17" s="291"/>
      <c r="O17" s="291">
        <f t="shared" si="13"/>
        <v>14568.699999999997</v>
      </c>
      <c r="P17" s="291">
        <f t="shared" si="13"/>
        <v>4370.6100000000006</v>
      </c>
      <c r="Q17" s="292"/>
      <c r="R17" s="293">
        <f t="shared" ref="R17" si="14">SUM(R9:R16)</f>
        <v>18336.5</v>
      </c>
      <c r="S17" s="293">
        <f t="shared" ref="S17" si="15">SUM(S9:S16)</f>
        <v>5500.9500000000007</v>
      </c>
      <c r="T17" s="291"/>
      <c r="U17" s="291">
        <f t="shared" ref="U17" si="16">SUM(U9:U16)</f>
        <v>8450.9</v>
      </c>
      <c r="V17" s="291">
        <f t="shared" ref="V17" si="17">SUM(V9:V16)</f>
        <v>2535.27</v>
      </c>
      <c r="W17" s="292"/>
      <c r="X17" s="292">
        <f t="shared" si="13"/>
        <v>4507.0999999999995</v>
      </c>
      <c r="Y17" s="292">
        <f t="shared" si="13"/>
        <v>1352.13</v>
      </c>
      <c r="Z17" s="301">
        <f>ROUND(U17/10,2)</f>
        <v>845.09</v>
      </c>
      <c r="AA17" s="281" t="s">
        <v>27</v>
      </c>
      <c r="AB17" s="281"/>
      <c r="AC17" s="281"/>
      <c r="AD17" s="281"/>
      <c r="AE17" s="281"/>
      <c r="AF17" s="281"/>
      <c r="AG17" s="281"/>
      <c r="AH17" s="281"/>
      <c r="AI17" s="281"/>
    </row>
    <row r="18" spans="1:35" s="282" customFormat="1" ht="21" customHeight="1" x14ac:dyDescent="0.2">
      <c r="A18" s="294" t="s">
        <v>8</v>
      </c>
      <c r="B18" s="307"/>
      <c r="C18" s="275">
        <f t="shared" si="0"/>
        <v>376.78</v>
      </c>
      <c r="D18" s="300"/>
      <c r="E18" s="308"/>
      <c r="F18" s="277">
        <f>ROUND(E$6/12,2)</f>
        <v>331.56</v>
      </c>
      <c r="G18" s="309">
        <v>326.27999999999997</v>
      </c>
      <c r="H18" s="307"/>
      <c r="I18" s="275">
        <f t="shared" si="1"/>
        <v>4772.5</v>
      </c>
      <c r="J18" s="310"/>
      <c r="K18" s="308"/>
      <c r="L18" s="277">
        <f t="shared" ref="L18:L19" si="18">ROUND(K$6/12,2)</f>
        <v>421.99</v>
      </c>
      <c r="M18" s="309"/>
      <c r="N18" s="307"/>
      <c r="O18" s="275">
        <f t="shared" ref="O18:O19" si="19">ROUND(N$6/12,2)</f>
        <v>1456.87</v>
      </c>
      <c r="P18" s="300"/>
      <c r="Q18" s="308"/>
      <c r="R18" s="277">
        <f>ROUND(Q$6/12,2)</f>
        <v>1833.65</v>
      </c>
      <c r="S18" s="277"/>
      <c r="T18" s="307"/>
      <c r="U18" s="275">
        <f>ROUND(T$6/12,2)</f>
        <v>845.09</v>
      </c>
      <c r="V18" s="275"/>
      <c r="W18" s="308"/>
      <c r="X18" s="279">
        <f>ROUND(W$6/12,2)</f>
        <v>450.71</v>
      </c>
      <c r="Y18" s="279"/>
      <c r="Z18" s="301">
        <f>ROUND(Z17*1.5,2)</f>
        <v>1267.6400000000001</v>
      </c>
      <c r="AA18" s="281" t="s">
        <v>21</v>
      </c>
      <c r="AB18" s="281"/>
      <c r="AC18" s="281"/>
      <c r="AD18" s="281"/>
      <c r="AE18" s="281"/>
      <c r="AF18" s="281"/>
      <c r="AG18" s="281"/>
      <c r="AH18" s="281"/>
      <c r="AI18" s="281"/>
    </row>
    <row r="19" spans="1:35" s="282" customFormat="1" ht="21" customHeight="1" thickBot="1" x14ac:dyDescent="0.25">
      <c r="A19" s="311" t="s">
        <v>9</v>
      </c>
      <c r="B19" s="307"/>
      <c r="C19" s="275">
        <f t="shared" si="0"/>
        <v>376.78</v>
      </c>
      <c r="D19" s="421"/>
      <c r="E19" s="422"/>
      <c r="F19" s="423">
        <f>ROUND(E$6/12,2)</f>
        <v>331.56</v>
      </c>
      <c r="G19" s="424">
        <v>326.23</v>
      </c>
      <c r="H19" s="307"/>
      <c r="I19" s="275">
        <f t="shared" si="1"/>
        <v>4772.5</v>
      </c>
      <c r="J19" s="310"/>
      <c r="K19" s="308"/>
      <c r="L19" s="277">
        <f t="shared" si="18"/>
        <v>421.99</v>
      </c>
      <c r="M19" s="309"/>
      <c r="N19" s="307"/>
      <c r="O19" s="275">
        <f t="shared" si="19"/>
        <v>1456.87</v>
      </c>
      <c r="P19" s="310"/>
      <c r="Q19" s="308"/>
      <c r="R19" s="277">
        <f>ROUND(Q$6/12,2)</f>
        <v>1833.65</v>
      </c>
      <c r="S19" s="312"/>
      <c r="T19" s="307"/>
      <c r="U19" s="275">
        <f>ROUND(T$6/12,2)</f>
        <v>845.09</v>
      </c>
      <c r="V19" s="278"/>
      <c r="W19" s="308"/>
      <c r="X19" s="279">
        <f>ROUND(W$6/12,2)</f>
        <v>450.71</v>
      </c>
      <c r="Y19" s="313"/>
      <c r="Z19" s="301">
        <f>ROUND(Z17*0.75,2)</f>
        <v>633.82000000000005</v>
      </c>
      <c r="AA19" s="281" t="s">
        <v>28</v>
      </c>
      <c r="AB19" s="281"/>
      <c r="AC19" s="281"/>
      <c r="AD19" s="281"/>
      <c r="AE19" s="281"/>
      <c r="AF19" s="281"/>
      <c r="AG19" s="281"/>
      <c r="AH19" s="281"/>
      <c r="AI19" s="281"/>
    </row>
    <row r="20" spans="1:35" s="282" customFormat="1" ht="27" customHeight="1" thickBot="1" x14ac:dyDescent="0.25">
      <c r="A20" s="314" t="s">
        <v>10</v>
      </c>
      <c r="B20" s="315"/>
      <c r="C20" s="316">
        <f>C17+SUM(C18:C19)</f>
        <v>4521.3599999999988</v>
      </c>
      <c r="D20" s="316">
        <f t="shared" ref="D20:Y20" si="20">D17+SUM(D18:D19)</f>
        <v>1130.3399999999999</v>
      </c>
      <c r="E20" s="317">
        <f t="shared" si="20"/>
        <v>0</v>
      </c>
      <c r="F20" s="317">
        <f t="shared" si="20"/>
        <v>3978.72</v>
      </c>
      <c r="G20" s="317">
        <f t="shared" si="20"/>
        <v>1647.19</v>
      </c>
      <c r="H20" s="316"/>
      <c r="I20" s="316">
        <f t="shared" si="20"/>
        <v>57270</v>
      </c>
      <c r="J20" s="316">
        <f>J17+SUM(J18:J19)</f>
        <v>14317.5</v>
      </c>
      <c r="K20" s="317"/>
      <c r="L20" s="317">
        <f t="shared" si="20"/>
        <v>5063.8799999999992</v>
      </c>
      <c r="M20" s="317">
        <f t="shared" si="20"/>
        <v>1265.97</v>
      </c>
      <c r="N20" s="316"/>
      <c r="O20" s="316">
        <f t="shared" si="20"/>
        <v>17482.439999999995</v>
      </c>
      <c r="P20" s="316">
        <f>P17+SUM(P18:P19)</f>
        <v>4370.6100000000006</v>
      </c>
      <c r="Q20" s="317"/>
      <c r="R20" s="317">
        <f t="shared" ref="R20" si="21">R17+SUM(R18:R19)</f>
        <v>22003.8</v>
      </c>
      <c r="S20" s="317">
        <f t="shared" ref="S20" si="22">S17+SUM(S18:S19)</f>
        <v>5500.9500000000007</v>
      </c>
      <c r="T20" s="316"/>
      <c r="U20" s="316">
        <f>U17+SUM(U18:U19)</f>
        <v>10141.08</v>
      </c>
      <c r="V20" s="316">
        <f t="shared" ref="V20" si="23">V17+SUM(V18:V19)</f>
        <v>2535.27</v>
      </c>
      <c r="W20" s="318"/>
      <c r="X20" s="318">
        <f t="shared" si="20"/>
        <v>5408.5199999999995</v>
      </c>
      <c r="Y20" s="318">
        <f t="shared" si="20"/>
        <v>1352.13</v>
      </c>
      <c r="Z20" s="319"/>
      <c r="AA20" s="305"/>
      <c r="AB20" s="305"/>
      <c r="AC20" s="305"/>
      <c r="AD20" s="305"/>
      <c r="AE20" s="305"/>
      <c r="AF20" s="305"/>
      <c r="AG20" s="305"/>
      <c r="AH20" s="305"/>
      <c r="AI20" s="305"/>
    </row>
    <row r="21" spans="1:35" s="282" customFormat="1" ht="12" x14ac:dyDescent="0.2">
      <c r="C21" s="281"/>
      <c r="D21" s="281">
        <f>B6-C20</f>
        <v>-3.9999999999054126E-2</v>
      </c>
      <c r="E21" s="281"/>
      <c r="F21" s="281"/>
      <c r="G21" s="281">
        <f>E6-F20</f>
        <v>4.0000000000418368E-2</v>
      </c>
      <c r="H21" s="281"/>
      <c r="I21" s="281"/>
      <c r="J21" s="281">
        <f>H6-I20</f>
        <v>2.9999999998835847E-2</v>
      </c>
      <c r="K21" s="281"/>
      <c r="L21" s="281"/>
      <c r="M21" s="281">
        <f>K6-L20</f>
        <v>0</v>
      </c>
      <c r="N21" s="281"/>
      <c r="O21" s="281"/>
      <c r="P21" s="281">
        <f>N6-O20</f>
        <v>-9.9999999947613105E-3</v>
      </c>
      <c r="Q21" s="281"/>
      <c r="R21" s="281"/>
      <c r="S21" s="281">
        <f>Q6-R20</f>
        <v>-4.9999999999272404E-2</v>
      </c>
      <c r="T21" s="281"/>
      <c r="U21" s="281"/>
      <c r="V21" s="281">
        <f>T6-U20</f>
        <v>-4.9999999999272404E-2</v>
      </c>
      <c r="W21" s="281"/>
      <c r="X21" s="281"/>
      <c r="Y21" s="281">
        <f>W6-X20</f>
        <v>3.0000000000654836E-2</v>
      </c>
      <c r="Z21" s="280"/>
    </row>
    <row r="22" spans="1:35" hidden="1" x14ac:dyDescent="0.25"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AC22" s="31"/>
    </row>
    <row r="23" spans="1:35" hidden="1" x14ac:dyDescent="0.25">
      <c r="A23" s="35"/>
      <c r="B23" s="36" t="s">
        <v>26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35" hidden="1" x14ac:dyDescent="0.25">
      <c r="A24" s="35">
        <f>348.34+(348.34*50%)</f>
        <v>522.51</v>
      </c>
      <c r="B24" s="36" t="s">
        <v>60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>
        <f>1346.93*10</f>
        <v>13469.300000000001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35" hidden="1" x14ac:dyDescent="0.25">
      <c r="A25" s="35"/>
      <c r="B25" s="36" t="s">
        <v>28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35" hidden="1" x14ac:dyDescent="0.25">
      <c r="A26" s="35"/>
      <c r="B26" s="36"/>
      <c r="C26" s="31"/>
      <c r="D26" s="31"/>
      <c r="E26" s="31"/>
      <c r="F26" s="31"/>
      <c r="G26" s="31"/>
      <c r="H26" s="31"/>
      <c r="I26" s="53">
        <v>3678.51</v>
      </c>
      <c r="J26" s="53"/>
      <c r="K26" s="54">
        <f>I26/12</f>
        <v>306.54250000000002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35" hidden="1" x14ac:dyDescent="0.25">
      <c r="A27" s="35"/>
      <c r="B27" s="37" t="s">
        <v>25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35" hidden="1" x14ac:dyDescent="0.25">
      <c r="A28" s="35"/>
      <c r="B28" s="36" t="s">
        <v>27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35" hidden="1" x14ac:dyDescent="0.25">
      <c r="A29" s="35"/>
      <c r="B29" s="36" t="s">
        <v>60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35" hidden="1" x14ac:dyDescent="0.25">
      <c r="A30" s="35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35" hidden="1" x14ac:dyDescent="0.25">
      <c r="A31" s="35"/>
      <c r="B31" s="36" t="s">
        <v>28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35" x14ac:dyDescent="0.2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1" x14ac:dyDescent="0.25">
      <c r="A33" s="55"/>
    </row>
  </sheetData>
  <mergeCells count="8">
    <mergeCell ref="W4:Y4"/>
    <mergeCell ref="Q4:S4"/>
    <mergeCell ref="T4:V4"/>
    <mergeCell ref="B4:D4"/>
    <mergeCell ref="E4:G4"/>
    <mergeCell ref="H4:J4"/>
    <mergeCell ref="K4:M4"/>
    <mergeCell ref="N4:P4"/>
  </mergeCells>
  <phoneticPr fontId="2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>
    <oddFooter>&amp;LUrszula Dbrowolska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6B7C-7CCF-4776-9B26-4EB143D1DEF9}">
  <sheetPr>
    <pageSetUpPr fitToPage="1"/>
  </sheetPr>
  <dimension ref="A1:S19"/>
  <sheetViews>
    <sheetView tabSelected="1" workbookViewId="0">
      <selection activeCell="S19" sqref="A1:S19"/>
    </sheetView>
  </sheetViews>
  <sheetFormatPr defaultColWidth="43.7109375" defaultRowHeight="12.75" x14ac:dyDescent="0.2"/>
  <cols>
    <col min="1" max="1" width="3.7109375" style="213" customWidth="1"/>
    <col min="2" max="2" width="45.28515625" style="56" customWidth="1"/>
    <col min="3" max="3" width="14.7109375" style="89" customWidth="1"/>
    <col min="4" max="4" width="9.7109375" style="89" customWidth="1"/>
    <col min="5" max="5" width="8.5703125" style="89" customWidth="1"/>
    <col min="6" max="6" width="6.28515625" style="89" customWidth="1"/>
    <col min="7" max="7" width="12.7109375" style="56" customWidth="1"/>
    <col min="8" max="8" width="7" style="89" customWidth="1"/>
    <col min="9" max="9" width="4.85546875" style="88" customWidth="1"/>
    <col min="10" max="15" width="4.85546875" style="89" customWidth="1"/>
    <col min="16" max="16" width="10.7109375" style="89" customWidth="1"/>
    <col min="17" max="17" width="10.42578125" style="56" bestFit="1" customWidth="1"/>
    <col min="18" max="18" width="7.85546875" style="97" customWidth="1"/>
    <col min="19" max="19" width="9" style="56" bestFit="1" customWidth="1"/>
    <col min="20" max="16384" width="43.7109375" style="56"/>
  </cols>
  <sheetData>
    <row r="1" spans="1:19" ht="85.5" customHeight="1" x14ac:dyDescent="0.2">
      <c r="A1" s="259" t="s">
        <v>29</v>
      </c>
      <c r="B1" s="260" t="s">
        <v>45</v>
      </c>
      <c r="C1" s="416" t="s">
        <v>193</v>
      </c>
      <c r="D1" s="417" t="s">
        <v>131</v>
      </c>
      <c r="E1" s="583" t="s">
        <v>194</v>
      </c>
      <c r="F1" s="584"/>
      <c r="G1" s="418" t="s">
        <v>166</v>
      </c>
      <c r="H1" s="587" t="s">
        <v>131</v>
      </c>
      <c r="I1" s="588"/>
      <c r="J1" s="588"/>
      <c r="K1" s="588"/>
      <c r="L1" s="588"/>
      <c r="M1" s="588"/>
      <c r="N1" s="588"/>
      <c r="O1" s="589"/>
      <c r="P1" s="590" t="s">
        <v>167</v>
      </c>
      <c r="Q1" s="590" t="s">
        <v>168</v>
      </c>
      <c r="R1" s="580" t="s">
        <v>109</v>
      </c>
      <c r="S1" s="581" t="s">
        <v>137</v>
      </c>
    </row>
    <row r="2" spans="1:19" ht="39.75" customHeight="1" x14ac:dyDescent="0.2">
      <c r="A2" s="582" t="s">
        <v>46</v>
      </c>
      <c r="B2" s="582"/>
      <c r="C2" s="236" t="s">
        <v>47</v>
      </c>
      <c r="D2" s="237" t="s">
        <v>47</v>
      </c>
      <c r="E2" s="585"/>
      <c r="F2" s="586"/>
      <c r="G2" s="238" t="s">
        <v>48</v>
      </c>
      <c r="H2" s="239" t="s">
        <v>49</v>
      </c>
      <c r="I2" s="240" t="s">
        <v>50</v>
      </c>
      <c r="J2" s="240" t="s">
        <v>51</v>
      </c>
      <c r="K2" s="240" t="s">
        <v>52</v>
      </c>
      <c r="L2" s="240" t="s">
        <v>53</v>
      </c>
      <c r="M2" s="240" t="s">
        <v>54</v>
      </c>
      <c r="N2" s="240" t="s">
        <v>55</v>
      </c>
      <c r="O2" s="240" t="s">
        <v>56</v>
      </c>
      <c r="P2" s="590"/>
      <c r="Q2" s="590"/>
      <c r="R2" s="580"/>
      <c r="S2" s="581"/>
    </row>
    <row r="3" spans="1:19" ht="22.5" x14ac:dyDescent="0.2">
      <c r="A3" s="204">
        <v>1</v>
      </c>
      <c r="B3" s="241" t="s">
        <v>98</v>
      </c>
      <c r="C3" s="80">
        <v>4521.32</v>
      </c>
      <c r="D3" s="90">
        <v>10</v>
      </c>
      <c r="E3" s="93">
        <f>D3</f>
        <v>10</v>
      </c>
      <c r="F3" s="209">
        <v>10</v>
      </c>
      <c r="G3" s="94">
        <f>ROUND(F3*P3,2)</f>
        <v>45213.2</v>
      </c>
      <c r="H3" s="214">
        <f>I3+J3+K3+L3+M3+N3+O3</f>
        <v>10</v>
      </c>
      <c r="I3" s="214">
        <v>1</v>
      </c>
      <c r="J3" s="214"/>
      <c r="K3" s="214">
        <v>8</v>
      </c>
      <c r="L3" s="214"/>
      <c r="M3" s="214">
        <v>1</v>
      </c>
      <c r="N3" s="214"/>
      <c r="O3" s="214"/>
      <c r="P3" s="80">
        <v>4521.32</v>
      </c>
      <c r="Q3" s="414">
        <f>ROUND(P3/12,2)</f>
        <v>376.78</v>
      </c>
      <c r="R3" s="413">
        <f>ROUND(376.78*12,2)</f>
        <v>4521.3599999999997</v>
      </c>
      <c r="S3" s="415">
        <f>P3-R3</f>
        <v>-3.999999999996362E-2</v>
      </c>
    </row>
    <row r="4" spans="1:19" ht="45" x14ac:dyDescent="0.2">
      <c r="A4" s="204">
        <v>2</v>
      </c>
      <c r="B4" s="241" t="s">
        <v>99</v>
      </c>
      <c r="C4" s="80">
        <v>3978.76</v>
      </c>
      <c r="D4" s="90">
        <v>0</v>
      </c>
      <c r="E4" s="93">
        <f t="shared" ref="E4:E8" si="0">D4</f>
        <v>0</v>
      </c>
      <c r="F4" s="209">
        <v>0</v>
      </c>
      <c r="G4" s="94">
        <f>ROUND(F4*P4,2)</f>
        <v>0</v>
      </c>
      <c r="H4" s="214">
        <f t="shared" ref="H4:H8" si="1">I4+J4+K4+L4+M4+N4+O4</f>
        <v>0</v>
      </c>
      <c r="I4" s="214"/>
      <c r="J4" s="214"/>
      <c r="K4" s="214"/>
      <c r="L4" s="214"/>
      <c r="M4" s="214"/>
      <c r="N4" s="214"/>
      <c r="O4" s="214"/>
      <c r="P4" s="80">
        <v>3978.76</v>
      </c>
      <c r="Q4" s="414">
        <f>ROUND(P4/12,2)</f>
        <v>331.56</v>
      </c>
      <c r="R4" s="413">
        <f>ROUND(331.56*12,2)</f>
        <v>3978.72</v>
      </c>
      <c r="S4" s="415">
        <f t="shared" ref="S4:S6" si="2">P4-R4</f>
        <v>4.0000000000418368E-2</v>
      </c>
    </row>
    <row r="5" spans="1:19" s="57" customFormat="1" ht="67.5" x14ac:dyDescent="0.25">
      <c r="A5" s="204">
        <v>3</v>
      </c>
      <c r="B5" s="242" t="s">
        <v>182</v>
      </c>
      <c r="C5" s="80">
        <v>57270.03</v>
      </c>
      <c r="D5" s="90">
        <v>13</v>
      </c>
      <c r="E5" s="93">
        <f t="shared" si="0"/>
        <v>13</v>
      </c>
      <c r="F5" s="209">
        <v>13</v>
      </c>
      <c r="G5" s="94">
        <f>ROUND(F5*P5,2)</f>
        <v>744510.39</v>
      </c>
      <c r="H5" s="214">
        <f t="shared" si="1"/>
        <v>13</v>
      </c>
      <c r="I5" s="215">
        <v>1</v>
      </c>
      <c r="J5" s="215"/>
      <c r="K5" s="215">
        <v>12</v>
      </c>
      <c r="L5" s="215"/>
      <c r="M5" s="215"/>
      <c r="N5" s="215"/>
      <c r="O5" s="215"/>
      <c r="P5" s="80">
        <v>57270.03</v>
      </c>
      <c r="Q5" s="414">
        <f>ROUND(P5/12,2)</f>
        <v>4772.5</v>
      </c>
      <c r="R5" s="413">
        <f>ROUND(4772.5*12,2)</f>
        <v>57270</v>
      </c>
      <c r="S5" s="415">
        <f t="shared" si="2"/>
        <v>2.9999999998835847E-2</v>
      </c>
    </row>
    <row r="6" spans="1:19" ht="33.75" x14ac:dyDescent="0.2">
      <c r="A6" s="204">
        <v>4</v>
      </c>
      <c r="B6" s="243" t="s">
        <v>101</v>
      </c>
      <c r="C6" s="80">
        <v>5063.88</v>
      </c>
      <c r="D6" s="90">
        <v>37</v>
      </c>
      <c r="E6" s="93">
        <f t="shared" si="0"/>
        <v>37</v>
      </c>
      <c r="F6" s="209">
        <v>37</v>
      </c>
      <c r="G6" s="94">
        <f>ROUND(F6*P6,2)</f>
        <v>187363.56</v>
      </c>
      <c r="H6" s="214">
        <f t="shared" si="1"/>
        <v>37</v>
      </c>
      <c r="I6" s="214">
        <v>6</v>
      </c>
      <c r="J6" s="214">
        <v>1</v>
      </c>
      <c r="K6" s="214">
        <v>27</v>
      </c>
      <c r="L6" s="214">
        <v>1</v>
      </c>
      <c r="M6" s="214"/>
      <c r="N6" s="214"/>
      <c r="O6" s="214">
        <v>2</v>
      </c>
      <c r="P6" s="80">
        <v>5063.88</v>
      </c>
      <c r="Q6" s="414">
        <f>ROUND(P6/12,2)</f>
        <v>421.99</v>
      </c>
      <c r="R6" s="413">
        <f>ROUND(421.99*12,2)</f>
        <v>5063.88</v>
      </c>
      <c r="S6" s="415">
        <f t="shared" si="2"/>
        <v>0</v>
      </c>
    </row>
    <row r="7" spans="1:19" ht="90" x14ac:dyDescent="0.2">
      <c r="A7" s="204">
        <v>5</v>
      </c>
      <c r="B7" s="243" t="s">
        <v>208</v>
      </c>
      <c r="C7" s="80">
        <v>17482.43</v>
      </c>
      <c r="D7" s="90">
        <v>13</v>
      </c>
      <c r="E7" s="93">
        <f t="shared" si="0"/>
        <v>13</v>
      </c>
      <c r="F7" s="209">
        <v>13</v>
      </c>
      <c r="G7" s="94">
        <f t="shared" ref="G7:G8" si="3">ROUND(F7*P7,2)</f>
        <v>227271.59</v>
      </c>
      <c r="H7" s="214">
        <f t="shared" si="1"/>
        <v>13</v>
      </c>
      <c r="I7" s="214">
        <v>2</v>
      </c>
      <c r="J7" s="214"/>
      <c r="K7" s="214">
        <v>10</v>
      </c>
      <c r="L7" s="214"/>
      <c r="M7" s="214">
        <v>1</v>
      </c>
      <c r="N7" s="214"/>
      <c r="O7" s="214"/>
      <c r="P7" s="80">
        <v>17482.43</v>
      </c>
      <c r="Q7" s="414">
        <f t="shared" ref="Q7" si="4">ROUND(P7/12,2)</f>
        <v>1456.87</v>
      </c>
      <c r="R7" s="413">
        <f>ROUND(1456.87*12,2)</f>
        <v>17482.439999999999</v>
      </c>
      <c r="S7" s="415">
        <f>P7-R7</f>
        <v>-9.9999999983992893E-3</v>
      </c>
    </row>
    <row r="8" spans="1:19" ht="78.75" x14ac:dyDescent="0.2">
      <c r="A8" s="204">
        <v>6</v>
      </c>
      <c r="B8" s="243" t="s">
        <v>209</v>
      </c>
      <c r="C8" s="80">
        <v>22003.75</v>
      </c>
      <c r="D8" s="90">
        <v>2</v>
      </c>
      <c r="E8" s="93">
        <f t="shared" si="0"/>
        <v>2</v>
      </c>
      <c r="F8" s="209">
        <v>2</v>
      </c>
      <c r="G8" s="94">
        <f t="shared" si="3"/>
        <v>44007.5</v>
      </c>
      <c r="H8" s="214">
        <f t="shared" si="1"/>
        <v>2</v>
      </c>
      <c r="I8" s="214"/>
      <c r="J8" s="214"/>
      <c r="K8" s="214">
        <v>2</v>
      </c>
      <c r="L8" s="214"/>
      <c r="M8" s="214"/>
      <c r="N8" s="214"/>
      <c r="O8" s="214"/>
      <c r="P8" s="80">
        <v>22003.75</v>
      </c>
      <c r="Q8" s="414">
        <f>ROUND(P8/12,2)</f>
        <v>1833.65</v>
      </c>
      <c r="R8" s="413">
        <f>ROUND(1833.65*12,2)</f>
        <v>22003.8</v>
      </c>
      <c r="S8" s="415">
        <f>P8-R8</f>
        <v>-4.9999999999272404E-2</v>
      </c>
    </row>
    <row r="9" spans="1:19" ht="22.5" customHeight="1" x14ac:dyDescent="0.2">
      <c r="A9" s="211"/>
      <c r="B9" s="2"/>
      <c r="C9" s="84" t="s">
        <v>57</v>
      </c>
      <c r="D9" s="217">
        <f>D5+D7+D8</f>
        <v>28</v>
      </c>
      <c r="E9" s="218">
        <f>E5+E7+E8</f>
        <v>28</v>
      </c>
      <c r="F9" s="210">
        <f>F5+F7+F8</f>
        <v>28</v>
      </c>
      <c r="G9" s="219">
        <f>G5+G7+G8+G3+G4</f>
        <v>1061002.68</v>
      </c>
      <c r="H9" s="82">
        <f>H5+H7+H8</f>
        <v>28</v>
      </c>
      <c r="I9" s="82">
        <f t="shared" ref="I9:O9" si="5">I5+I7+I8</f>
        <v>3</v>
      </c>
      <c r="J9" s="82">
        <f t="shared" si="5"/>
        <v>0</v>
      </c>
      <c r="K9" s="82">
        <f>K5+K7+K8</f>
        <v>24</v>
      </c>
      <c r="L9" s="82">
        <f t="shared" si="5"/>
        <v>0</v>
      </c>
      <c r="M9" s="82">
        <f t="shared" si="5"/>
        <v>1</v>
      </c>
      <c r="N9" s="82">
        <f t="shared" si="5"/>
        <v>0</v>
      </c>
      <c r="O9" s="82">
        <f t="shared" si="5"/>
        <v>0</v>
      </c>
      <c r="P9" s="91"/>
    </row>
    <row r="10" spans="1:19" ht="22.5" customHeight="1" x14ac:dyDescent="0.2">
      <c r="A10" s="211"/>
      <c r="B10" s="2"/>
      <c r="C10" s="85" t="s">
        <v>74</v>
      </c>
      <c r="D10" s="217">
        <f>D6</f>
        <v>37</v>
      </c>
      <c r="E10" s="218">
        <f>E6</f>
        <v>37</v>
      </c>
      <c r="F10" s="210">
        <f t="shared" ref="F10" si="6">F6</f>
        <v>37</v>
      </c>
      <c r="G10" s="219">
        <f>G6</f>
        <v>187363.56</v>
      </c>
      <c r="H10" s="83">
        <f>H6</f>
        <v>37</v>
      </c>
      <c r="I10" s="83">
        <f t="shared" ref="I10:O10" si="7">I6</f>
        <v>6</v>
      </c>
      <c r="J10" s="83">
        <f t="shared" si="7"/>
        <v>1</v>
      </c>
      <c r="K10" s="83">
        <f t="shared" si="7"/>
        <v>27</v>
      </c>
      <c r="L10" s="83">
        <f t="shared" si="7"/>
        <v>1</v>
      </c>
      <c r="M10" s="83">
        <f t="shared" si="7"/>
        <v>0</v>
      </c>
      <c r="N10" s="83">
        <f t="shared" si="7"/>
        <v>0</v>
      </c>
      <c r="O10" s="83">
        <f t="shared" si="7"/>
        <v>2</v>
      </c>
      <c r="P10" s="91"/>
    </row>
    <row r="11" spans="1:19" ht="22.5" customHeight="1" x14ac:dyDescent="0.2">
      <c r="A11" s="211"/>
      <c r="B11" s="208" t="s">
        <v>195</v>
      </c>
      <c r="C11" s="205"/>
      <c r="D11" s="220">
        <v>1635</v>
      </c>
      <c r="E11" s="221">
        <f>(D11*2/3)+(H11*1/3)</f>
        <v>1635</v>
      </c>
      <c r="F11" s="222"/>
      <c r="G11" s="223">
        <f>G9+G10</f>
        <v>1248366.24</v>
      </c>
      <c r="H11" s="83">
        <f>I11+J11+K11+L11+M11+N11+O11</f>
        <v>1635</v>
      </c>
      <c r="I11" s="83">
        <v>336</v>
      </c>
      <c r="J11" s="83">
        <v>195</v>
      </c>
      <c r="K11" s="83">
        <v>125</v>
      </c>
      <c r="L11" s="83">
        <v>259</v>
      </c>
      <c r="M11" s="83">
        <v>375</v>
      </c>
      <c r="N11" s="83">
        <v>119</v>
      </c>
      <c r="O11" s="83">
        <v>226</v>
      </c>
      <c r="P11" s="92"/>
    </row>
    <row r="12" spans="1:19" ht="38.25" hidden="1" customHeight="1" x14ac:dyDescent="0.2">
      <c r="A12" s="211"/>
      <c r="B12" s="58" t="s">
        <v>58</v>
      </c>
      <c r="C12" s="206"/>
      <c r="D12" s="224"/>
      <c r="E12" s="221">
        <f t="shared" ref="E12" si="8">(D12*2/3)+(H12*1/3)</f>
        <v>0</v>
      </c>
      <c r="F12" s="222"/>
      <c r="G12" s="225"/>
      <c r="H12" s="222"/>
      <c r="I12" s="226"/>
      <c r="J12" s="226"/>
      <c r="K12" s="226"/>
      <c r="L12" s="226"/>
      <c r="M12" s="226"/>
      <c r="N12" s="226"/>
      <c r="O12" s="226"/>
      <c r="P12" s="92"/>
    </row>
    <row r="13" spans="1:19" x14ac:dyDescent="0.2">
      <c r="A13" s="212"/>
      <c r="B13" s="216" t="s">
        <v>59</v>
      </c>
      <c r="C13" s="84"/>
      <c r="D13" s="227">
        <f>D11-D9</f>
        <v>1607</v>
      </c>
      <c r="E13" s="221">
        <f>E11-F9</f>
        <v>1607</v>
      </c>
      <c r="F13" s="222"/>
      <c r="G13" s="228"/>
      <c r="H13" s="229">
        <f>H11-H9</f>
        <v>1607</v>
      </c>
      <c r="I13" s="226"/>
      <c r="J13" s="226"/>
      <c r="K13" s="226"/>
      <c r="L13" s="226"/>
      <c r="M13" s="226"/>
      <c r="N13" s="226"/>
      <c r="O13" s="226"/>
      <c r="P13" s="92"/>
    </row>
    <row r="14" spans="1:19" s="60" customFormat="1" x14ac:dyDescent="0.2">
      <c r="A14" s="230"/>
      <c r="B14" s="231" t="s">
        <v>132</v>
      </c>
      <c r="C14" s="108">
        <v>1635</v>
      </c>
      <c r="D14" s="86"/>
      <c r="E14" s="86"/>
      <c r="F14" s="86"/>
      <c r="G14" s="59"/>
      <c r="H14" s="86"/>
      <c r="I14" s="86"/>
      <c r="J14" s="87"/>
      <c r="K14" s="87"/>
      <c r="L14" s="87"/>
      <c r="M14" s="87"/>
      <c r="N14" s="87"/>
      <c r="O14" s="87"/>
      <c r="P14" s="87"/>
      <c r="R14" s="98"/>
    </row>
    <row r="15" spans="1:19" s="96" customFormat="1" ht="12.75" customHeight="1" x14ac:dyDescent="0.2">
      <c r="A15" s="232"/>
      <c r="B15" s="231" t="s">
        <v>138</v>
      </c>
      <c r="C15" s="108">
        <v>28</v>
      </c>
      <c r="D15" s="207"/>
      <c r="E15" s="207"/>
      <c r="F15" s="207"/>
      <c r="G15" s="95"/>
      <c r="H15" s="207"/>
      <c r="I15" s="88"/>
      <c r="J15" s="89"/>
      <c r="K15" s="89"/>
      <c r="L15" s="89"/>
      <c r="M15" s="89"/>
      <c r="N15" s="89"/>
      <c r="O15" s="89"/>
      <c r="R15" s="97"/>
    </row>
    <row r="16" spans="1:19" s="96" customFormat="1" x14ac:dyDescent="0.2">
      <c r="A16" s="233"/>
      <c r="B16" s="231" t="s">
        <v>136</v>
      </c>
      <c r="C16" s="108">
        <f>C14-C15</f>
        <v>1607</v>
      </c>
      <c r="D16" s="89"/>
      <c r="E16" s="89"/>
      <c r="F16" s="89"/>
      <c r="H16" s="89"/>
      <c r="I16" s="88"/>
      <c r="J16" s="89"/>
      <c r="K16" s="89"/>
      <c r="L16" s="89"/>
      <c r="M16" s="89"/>
      <c r="N16" s="89"/>
      <c r="O16" s="89"/>
      <c r="R16" s="97"/>
    </row>
    <row r="17" spans="1:18" s="96" customFormat="1" x14ac:dyDescent="0.2">
      <c r="A17" s="233"/>
      <c r="B17" s="231" t="s">
        <v>133</v>
      </c>
      <c r="C17" s="108">
        <v>37</v>
      </c>
      <c r="D17" s="89"/>
      <c r="E17" s="89"/>
      <c r="F17" s="89"/>
      <c r="H17" s="89"/>
      <c r="I17" s="88"/>
      <c r="J17" s="89"/>
      <c r="K17" s="89"/>
      <c r="L17" s="89"/>
      <c r="M17" s="89"/>
      <c r="N17" s="89"/>
      <c r="O17" s="89"/>
      <c r="R17" s="97"/>
    </row>
    <row r="18" spans="1:18" s="96" customFormat="1" x14ac:dyDescent="0.2">
      <c r="A18" s="233"/>
      <c r="B18" s="231" t="s">
        <v>134</v>
      </c>
      <c r="C18" s="108">
        <v>1061002.68</v>
      </c>
      <c r="D18" s="89"/>
      <c r="E18" s="89"/>
      <c r="F18" s="89"/>
      <c r="H18" s="89"/>
      <c r="I18" s="88"/>
      <c r="J18" s="89"/>
      <c r="K18" s="89"/>
      <c r="L18" s="89"/>
      <c r="M18" s="89"/>
      <c r="N18" s="89"/>
      <c r="O18" s="89"/>
      <c r="R18" s="97"/>
    </row>
    <row r="19" spans="1:18" x14ac:dyDescent="0.2">
      <c r="A19" s="233"/>
      <c r="B19" s="231" t="s">
        <v>135</v>
      </c>
      <c r="C19" s="108">
        <v>187363.56</v>
      </c>
    </row>
  </sheetData>
  <mergeCells count="8">
    <mergeCell ref="R1:R2"/>
    <mergeCell ref="S1:S2"/>
    <mergeCell ref="A2:B2"/>
    <mergeCell ref="E1:F1"/>
    <mergeCell ref="E2:F2"/>
    <mergeCell ref="H1:O1"/>
    <mergeCell ref="Q1:Q2"/>
    <mergeCell ref="P1:P2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 xml:space="preserve">&amp;CPKD - uczniowie, w tym niepenosprawni w publ. p-lach i plan bieżacych wydatków - przeliczone kwoty obowiązują od 01.04.2021
</oddHeader>
    <oddFooter>&amp;LUrszula Dobrowolska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5132A-3DA7-4842-A764-F88123B518B1}">
  <sheetPr>
    <pageSetUpPr fitToPage="1"/>
  </sheetPr>
  <dimension ref="A1:AO39"/>
  <sheetViews>
    <sheetView zoomScaleNormal="100" workbookViewId="0">
      <selection activeCell="J33" sqref="A1:J33"/>
    </sheetView>
  </sheetViews>
  <sheetFormatPr defaultRowHeight="15" x14ac:dyDescent="0.25"/>
  <cols>
    <col min="1" max="1" width="43.85546875" customWidth="1"/>
    <col min="2" max="2" width="9.5703125" style="15" customWidth="1"/>
    <col min="3" max="3" width="8.42578125" style="15" customWidth="1"/>
    <col min="4" max="4" width="15.85546875" style="19" customWidth="1"/>
    <col min="5" max="5" width="14.85546875" style="19" customWidth="1"/>
    <col min="6" max="6" width="21.42578125" style="19" bestFit="1" customWidth="1"/>
    <col min="7" max="7" width="11.7109375" customWidth="1"/>
    <col min="8" max="8" width="23.42578125" customWidth="1"/>
    <col min="9" max="9" width="23.7109375" bestFit="1" customWidth="1"/>
    <col min="10" max="10" width="11.5703125" style="16" customWidth="1"/>
    <col min="11" max="11" width="8.85546875" style="16" hidden="1" customWidth="1"/>
    <col min="12" max="12" width="12.42578125" bestFit="1" customWidth="1"/>
    <col min="13" max="13" width="11" style="526" customWidth="1"/>
    <col min="14" max="14" width="12.42578125" style="22" customWidth="1"/>
    <col min="15" max="15" width="9.140625" style="22"/>
    <col min="16" max="16" width="9.28515625" style="523" bestFit="1" customWidth="1"/>
    <col min="17" max="17" width="11.28515625" style="198" bestFit="1" customWidth="1"/>
    <col min="18" max="18" width="9.140625" style="22"/>
    <col min="26" max="26" width="16.85546875" customWidth="1"/>
    <col min="29" max="29" width="16.140625" customWidth="1"/>
    <col min="30" max="30" width="22.140625" style="22" customWidth="1"/>
    <col min="31" max="31" width="7.140625" style="22" customWidth="1"/>
    <col min="32" max="32" width="13.140625" style="22" customWidth="1"/>
    <col min="33" max="33" width="18.7109375" style="22" customWidth="1"/>
    <col min="34" max="34" width="7.140625" style="22" customWidth="1"/>
    <col min="35" max="36" width="9.140625" style="22"/>
    <col min="37" max="37" width="18.85546875" style="24" customWidth="1"/>
    <col min="38" max="38" width="12.42578125" customWidth="1"/>
    <col min="41" max="41" width="9.140625" style="17"/>
  </cols>
  <sheetData>
    <row r="1" spans="1:41" s="3" customFormat="1" ht="189" customHeight="1" x14ac:dyDescent="0.2">
      <c r="A1" s="156" t="s">
        <v>62</v>
      </c>
      <c r="B1" s="157" t="s">
        <v>177</v>
      </c>
      <c r="C1" s="158" t="s">
        <v>163</v>
      </c>
      <c r="D1" s="172" t="s">
        <v>98</v>
      </c>
      <c r="E1" s="172" t="s">
        <v>99</v>
      </c>
      <c r="F1" s="174" t="s">
        <v>210</v>
      </c>
      <c r="G1" s="169" t="s">
        <v>101</v>
      </c>
      <c r="H1" s="169" t="s">
        <v>208</v>
      </c>
      <c r="I1" s="169" t="s">
        <v>209</v>
      </c>
      <c r="J1" s="196" t="s">
        <v>162</v>
      </c>
      <c r="K1" s="10"/>
      <c r="L1" s="10"/>
      <c r="M1" s="5"/>
      <c r="N1" s="5"/>
      <c r="O1" s="5"/>
      <c r="P1" s="522"/>
      <c r="Q1" s="522"/>
      <c r="R1" s="10"/>
      <c r="S1" s="10"/>
      <c r="T1" s="10"/>
      <c r="U1" s="10"/>
      <c r="V1" s="10"/>
      <c r="W1" s="10"/>
      <c r="X1" s="10"/>
      <c r="Y1" s="10"/>
      <c r="Z1" s="10"/>
      <c r="AB1" s="6"/>
      <c r="AC1" s="6"/>
      <c r="AD1" s="7"/>
      <c r="AE1" s="4"/>
      <c r="AF1" s="4"/>
      <c r="AG1" s="4"/>
      <c r="AH1" s="4"/>
      <c r="AI1" s="4"/>
      <c r="AJ1" s="4"/>
      <c r="AK1" s="8"/>
      <c r="AO1" s="9"/>
    </row>
    <row r="2" spans="1:41" s="3" customFormat="1" ht="12.75" x14ac:dyDescent="0.2">
      <c r="A2" s="176" t="s">
        <v>176</v>
      </c>
      <c r="B2" s="474"/>
      <c r="C2" s="474"/>
      <c r="D2" s="173" t="s">
        <v>96</v>
      </c>
      <c r="E2" s="173" t="s">
        <v>97</v>
      </c>
      <c r="F2" s="173" t="s">
        <v>100</v>
      </c>
      <c r="G2" s="170" t="s">
        <v>63</v>
      </c>
      <c r="H2" s="170" t="s">
        <v>183</v>
      </c>
      <c r="I2" s="170" t="s">
        <v>102</v>
      </c>
      <c r="J2" s="475"/>
      <c r="K2" s="99"/>
      <c r="L2" s="10"/>
      <c r="M2" s="5"/>
      <c r="N2" s="5"/>
      <c r="O2" s="5"/>
      <c r="P2" s="522"/>
      <c r="Q2" s="522"/>
      <c r="R2" s="10"/>
      <c r="S2" s="10"/>
      <c r="T2" s="10"/>
      <c r="U2" s="10"/>
      <c r="V2" s="10"/>
      <c r="W2" s="10"/>
      <c r="X2" s="10"/>
      <c r="Y2" s="10"/>
      <c r="Z2" s="10"/>
      <c r="AD2" s="4"/>
      <c r="AE2" s="4"/>
      <c r="AF2" s="4"/>
      <c r="AG2" s="4"/>
      <c r="AH2" s="4"/>
      <c r="AI2" s="4"/>
      <c r="AJ2" s="4"/>
      <c r="AK2" s="8"/>
      <c r="AO2" s="9"/>
    </row>
    <row r="3" spans="1:41" s="3" customFormat="1" ht="12.75" x14ac:dyDescent="0.2">
      <c r="A3" s="176" t="s">
        <v>178</v>
      </c>
      <c r="B3" s="474"/>
      <c r="C3" s="474"/>
      <c r="D3" s="171">
        <v>0.75</v>
      </c>
      <c r="E3" s="171">
        <v>0.66</v>
      </c>
      <c r="F3" s="171">
        <v>9.5</v>
      </c>
      <c r="G3" s="171">
        <v>0.84</v>
      </c>
      <c r="H3" s="171">
        <v>2.9</v>
      </c>
      <c r="I3" s="171">
        <v>3.6</v>
      </c>
      <c r="J3" s="475"/>
      <c r="K3" s="10"/>
      <c r="M3" s="4"/>
      <c r="N3" s="4"/>
      <c r="O3" s="4"/>
      <c r="P3" s="522"/>
      <c r="Q3" s="521"/>
      <c r="R3" s="4"/>
      <c r="AD3" s="4"/>
      <c r="AE3" s="4"/>
      <c r="AF3" s="4"/>
      <c r="AG3" s="4"/>
      <c r="AH3" s="4"/>
      <c r="AI3" s="4"/>
      <c r="AJ3" s="4"/>
      <c r="AK3" s="8"/>
      <c r="AO3" s="9"/>
    </row>
    <row r="4" spans="1:41" s="12" customFormat="1" ht="12.75" x14ac:dyDescent="0.2">
      <c r="A4" s="176" t="s">
        <v>179</v>
      </c>
      <c r="B4" s="475"/>
      <c r="C4" s="177"/>
      <c r="D4" s="175">
        <f>0.75*6069.377*0.9932526173</f>
        <v>4521.3184429728171</v>
      </c>
      <c r="E4" s="175">
        <f>0.66*6069.377*0.9932526173</f>
        <v>3978.7602298160796</v>
      </c>
      <c r="F4" s="175">
        <f>9.5*6069.377*0.9932526173</f>
        <v>57270.033610989012</v>
      </c>
      <c r="G4" s="175">
        <f>0.84*6069.377*0.9932526173</f>
        <v>5063.8766561295542</v>
      </c>
      <c r="H4" s="175">
        <f>2.9*6069.377*0.9932526173</f>
        <v>17482.431312828223</v>
      </c>
      <c r="I4" s="175">
        <f>3.65*6069.377*0.9932526173</f>
        <v>22003.749755801044</v>
      </c>
      <c r="J4" s="476"/>
      <c r="K4" s="10"/>
      <c r="L4" s="11"/>
      <c r="M4" s="4"/>
      <c r="N4" s="4"/>
      <c r="O4" s="4"/>
      <c r="P4" s="522"/>
      <c r="Q4" s="521"/>
    </row>
    <row r="5" spans="1:41" s="12" customFormat="1" ht="12.75" x14ac:dyDescent="0.2">
      <c r="A5" s="178" t="s">
        <v>180</v>
      </c>
      <c r="B5" s="477"/>
      <c r="C5" s="179"/>
      <c r="D5" s="180" t="str">
        <f>FIXED(D4,2)</f>
        <v>4 521,32</v>
      </c>
      <c r="E5" s="180" t="str">
        <f t="shared" ref="E5:F5" si="0">FIXED(E4,2)</f>
        <v>3 978,76</v>
      </c>
      <c r="F5" s="180" t="str">
        <f t="shared" si="0"/>
        <v>57 270,03</v>
      </c>
      <c r="G5" s="180" t="str">
        <f>FIXED(G4,2)</f>
        <v>5 063,88</v>
      </c>
      <c r="H5" s="180" t="str">
        <f>FIXED(H4,2)</f>
        <v>17 482,43</v>
      </c>
      <c r="I5" s="180" t="str">
        <f>FIXED(I4,2)</f>
        <v>22 003,75</v>
      </c>
      <c r="J5" s="476"/>
      <c r="K5" s="10"/>
      <c r="L5" s="11"/>
      <c r="M5" s="4"/>
      <c r="N5" s="4"/>
      <c r="O5" s="4"/>
      <c r="P5" s="522"/>
      <c r="Q5" s="521"/>
    </row>
    <row r="6" spans="1:41" s="13" customFormat="1" ht="12.75" x14ac:dyDescent="0.2">
      <c r="A6" s="176" t="s">
        <v>64</v>
      </c>
      <c r="B6" s="475"/>
      <c r="C6" s="177"/>
      <c r="D6" s="181" t="str">
        <f>FIXED(D5/12,2)</f>
        <v>376,78</v>
      </c>
      <c r="E6" s="181" t="str">
        <f>FIXED(E5/12,2)</f>
        <v>331,56</v>
      </c>
      <c r="F6" s="181" t="str">
        <f t="shared" ref="F6:I6" si="1">FIXED(F5/12,2)</f>
        <v>4 772,50</v>
      </c>
      <c r="G6" s="181" t="str">
        <f t="shared" si="1"/>
        <v>421,99</v>
      </c>
      <c r="H6" s="181" t="str">
        <f t="shared" si="1"/>
        <v>1 456,87</v>
      </c>
      <c r="I6" s="181" t="str">
        <f t="shared" si="1"/>
        <v>1 833,65</v>
      </c>
      <c r="J6" s="476"/>
      <c r="K6" s="10"/>
      <c r="L6" s="3"/>
      <c r="M6" s="4"/>
      <c r="N6" s="4"/>
      <c r="O6" s="4"/>
      <c r="P6" s="522"/>
      <c r="Q6" s="521"/>
    </row>
    <row r="7" spans="1:41" s="62" customFormat="1" ht="15.75" customHeight="1" x14ac:dyDescent="0.2">
      <c r="A7" s="182" t="s">
        <v>103</v>
      </c>
      <c r="B7" s="478"/>
      <c r="C7" s="183"/>
      <c r="D7" s="184" t="str">
        <f>FIXED(D6,2)</f>
        <v>376,78</v>
      </c>
      <c r="E7" s="184" t="str">
        <f t="shared" ref="E7:I7" si="2">FIXED(E6,2)</f>
        <v>331,56</v>
      </c>
      <c r="F7" s="184" t="str">
        <f t="shared" si="2"/>
        <v>4 772,50</v>
      </c>
      <c r="G7" s="184" t="str">
        <f t="shared" si="2"/>
        <v>421,99</v>
      </c>
      <c r="H7" s="184" t="str">
        <f t="shared" si="2"/>
        <v>1 456,87</v>
      </c>
      <c r="I7" s="184" t="str">
        <f t="shared" si="2"/>
        <v>1 833,65</v>
      </c>
      <c r="J7" s="480"/>
      <c r="K7" s="61"/>
      <c r="M7" s="4"/>
      <c r="N7" s="4"/>
      <c r="O7" s="4"/>
      <c r="P7" s="522"/>
      <c r="Q7" s="521"/>
    </row>
    <row r="8" spans="1:41" s="14" customFormat="1" ht="15.75" customHeight="1" x14ac:dyDescent="0.2">
      <c r="A8" s="159"/>
      <c r="B8" s="183" t="s">
        <v>95</v>
      </c>
      <c r="C8" s="185" t="s">
        <v>94</v>
      </c>
      <c r="D8" s="184">
        <v>0.75</v>
      </c>
      <c r="E8" s="184">
        <f>E3</f>
        <v>0.66</v>
      </c>
      <c r="F8" s="184">
        <f t="shared" ref="F8:I8" si="3">F3</f>
        <v>9.5</v>
      </c>
      <c r="G8" s="184">
        <f t="shared" si="3"/>
        <v>0.84</v>
      </c>
      <c r="H8" s="184">
        <f t="shared" si="3"/>
        <v>2.9</v>
      </c>
      <c r="I8" s="184">
        <f t="shared" si="3"/>
        <v>3.6</v>
      </c>
      <c r="J8" s="480"/>
      <c r="K8" s="33"/>
      <c r="M8" s="4"/>
      <c r="N8" s="4"/>
      <c r="O8" s="4"/>
      <c r="P8" s="522"/>
      <c r="Q8" s="521"/>
    </row>
    <row r="9" spans="1:41" s="14" customFormat="1" ht="15.75" customHeight="1" x14ac:dyDescent="0.2">
      <c r="A9" s="159"/>
      <c r="B9" s="183"/>
      <c r="C9" s="185" t="s">
        <v>115</v>
      </c>
      <c r="D9" s="183">
        <v>6069377</v>
      </c>
      <c r="E9" s="479"/>
      <c r="F9" s="478"/>
      <c r="G9" s="479"/>
      <c r="H9" s="479"/>
      <c r="I9" s="479"/>
      <c r="J9" s="480"/>
      <c r="K9" s="34"/>
      <c r="M9" s="4"/>
      <c r="N9" s="4"/>
      <c r="O9" s="4"/>
      <c r="P9" s="522"/>
      <c r="Q9" s="521"/>
    </row>
    <row r="10" spans="1:41" s="14" customFormat="1" ht="15.75" customHeight="1" x14ac:dyDescent="0.2">
      <c r="A10" s="159"/>
      <c r="B10" s="478"/>
      <c r="C10" s="185" t="s">
        <v>116</v>
      </c>
      <c r="D10" s="186">
        <v>0.99325261730000003</v>
      </c>
      <c r="E10" s="479"/>
      <c r="F10" s="479"/>
      <c r="G10" s="479"/>
      <c r="H10" s="479"/>
      <c r="I10" s="479"/>
      <c r="J10" s="480"/>
      <c r="K10" s="34"/>
      <c r="M10" s="4"/>
      <c r="N10" s="4"/>
      <c r="O10" s="4"/>
      <c r="P10" s="522"/>
      <c r="Q10" s="521"/>
    </row>
    <row r="11" spans="1:41" s="14" customFormat="1" ht="15.75" customHeight="1" x14ac:dyDescent="0.2">
      <c r="A11" s="159"/>
      <c r="B11" s="478"/>
      <c r="C11" s="187" t="s">
        <v>117</v>
      </c>
      <c r="D11" s="184"/>
      <c r="E11" s="479"/>
      <c r="F11" s="479"/>
      <c r="G11" s="479"/>
      <c r="H11" s="479"/>
      <c r="I11" s="479"/>
      <c r="J11" s="480"/>
      <c r="K11" s="34"/>
      <c r="M11" s="4"/>
      <c r="N11" s="4"/>
      <c r="O11" s="4"/>
      <c r="P11" s="522"/>
      <c r="Q11" s="521"/>
    </row>
    <row r="12" spans="1:41" s="14" customFormat="1" ht="15.75" customHeight="1" x14ac:dyDescent="0.2">
      <c r="A12" s="165"/>
      <c r="B12" s="474"/>
      <c r="C12" s="474"/>
      <c r="D12" s="480"/>
      <c r="E12" s="480"/>
      <c r="F12" s="480"/>
      <c r="G12" s="481"/>
      <c r="H12" s="481"/>
      <c r="I12" s="481"/>
      <c r="J12" s="482"/>
      <c r="K12" s="34"/>
      <c r="M12" s="524" t="s">
        <v>186</v>
      </c>
      <c r="N12" s="524" t="s">
        <v>187</v>
      </c>
      <c r="O12" s="512"/>
      <c r="P12" s="527"/>
      <c r="Q12" s="527"/>
    </row>
    <row r="13" spans="1:41" s="14" customFormat="1" ht="15.75" customHeight="1" x14ac:dyDescent="0.2">
      <c r="A13" s="166" t="s">
        <v>65</v>
      </c>
      <c r="B13" s="193">
        <v>226</v>
      </c>
      <c r="C13" s="504">
        <f>F13+H13+I13</f>
        <v>0</v>
      </c>
      <c r="D13" s="484"/>
      <c r="E13" s="483"/>
      <c r="F13" s="485"/>
      <c r="G13" s="161">
        <v>2</v>
      </c>
      <c r="H13" s="484"/>
      <c r="I13" s="484"/>
      <c r="J13" s="188">
        <f>(D13*D5)+(E13*E5)+(F13*F5)+(G13*G5)+(H13*H5)+(I13*I5)</f>
        <v>10127.76</v>
      </c>
      <c r="K13" s="191">
        <f>F13+H13+I13</f>
        <v>0</v>
      </c>
      <c r="M13" s="513">
        <v>179</v>
      </c>
      <c r="N13" s="513">
        <v>47</v>
      </c>
      <c r="O13" s="513">
        <f>M13+N13</f>
        <v>226</v>
      </c>
      <c r="P13" s="527"/>
      <c r="Q13" s="527"/>
    </row>
    <row r="14" spans="1:41" s="14" customFormat="1" ht="15.75" customHeight="1" x14ac:dyDescent="0.2">
      <c r="A14" s="166" t="s">
        <v>66</v>
      </c>
      <c r="B14" s="193">
        <v>119</v>
      </c>
      <c r="C14" s="504">
        <f t="shared" ref="C14:C19" si="4">F14+H14+I14</f>
        <v>0</v>
      </c>
      <c r="D14" s="484"/>
      <c r="E14" s="483"/>
      <c r="F14" s="486"/>
      <c r="G14" s="484"/>
      <c r="H14" s="484"/>
      <c r="I14" s="484"/>
      <c r="J14" s="188">
        <f>(D14*D5)+(E14*E5)+(F14*F5)+(G14*G5)+(H14*H5)+(I14*I5)</f>
        <v>0</v>
      </c>
      <c r="K14" s="191">
        <f t="shared" ref="K14:K19" si="5">F14+H14+I14</f>
        <v>0</v>
      </c>
      <c r="M14" s="513">
        <v>81</v>
      </c>
      <c r="N14" s="513">
        <v>38</v>
      </c>
      <c r="O14" s="513">
        <f t="shared" ref="O14:O19" si="6">M14+N14</f>
        <v>119</v>
      </c>
      <c r="P14" s="527"/>
      <c r="Q14" s="527"/>
    </row>
    <row r="15" spans="1:41" s="14" customFormat="1" ht="15.75" customHeight="1" x14ac:dyDescent="0.2">
      <c r="A15" s="166" t="s">
        <v>67</v>
      </c>
      <c r="B15" s="193">
        <v>375</v>
      </c>
      <c r="C15" s="504">
        <f t="shared" si="4"/>
        <v>1</v>
      </c>
      <c r="D15" s="194">
        <v>1</v>
      </c>
      <c r="E15" s="487"/>
      <c r="F15" s="484"/>
      <c r="G15" s="484"/>
      <c r="H15" s="161">
        <v>1</v>
      </c>
      <c r="I15" s="484"/>
      <c r="J15" s="188">
        <f>(D15*D5)+(E15*E5)+(F15*F5)+(G15*G5)+(H15*H5)+(I15*I5)</f>
        <v>22003.75</v>
      </c>
      <c r="K15" s="191">
        <f t="shared" si="5"/>
        <v>1</v>
      </c>
      <c r="M15" s="513">
        <v>293</v>
      </c>
      <c r="N15" s="513">
        <v>82</v>
      </c>
      <c r="O15" s="513">
        <f t="shared" si="6"/>
        <v>375</v>
      </c>
      <c r="P15" s="527"/>
      <c r="Q15" s="527"/>
    </row>
    <row r="16" spans="1:41" s="14" customFormat="1" ht="15.75" customHeight="1" x14ac:dyDescent="0.2">
      <c r="A16" s="166" t="s">
        <v>68</v>
      </c>
      <c r="B16" s="193">
        <v>259</v>
      </c>
      <c r="C16" s="504">
        <f t="shared" si="4"/>
        <v>0</v>
      </c>
      <c r="D16" s="194"/>
      <c r="E16" s="487"/>
      <c r="F16" s="484"/>
      <c r="G16" s="161">
        <v>1</v>
      </c>
      <c r="H16" s="484"/>
      <c r="I16" s="484"/>
      <c r="J16" s="188">
        <f>(D16*D5)+(E16*E5)+(F16*F5)+(G16*G5)+(H16*H5)+(I16*I5)</f>
        <v>5063.88</v>
      </c>
      <c r="K16" s="191">
        <f t="shared" si="5"/>
        <v>0</v>
      </c>
      <c r="M16" s="513">
        <v>178</v>
      </c>
      <c r="N16" s="513">
        <v>81</v>
      </c>
      <c r="O16" s="513">
        <f t="shared" si="6"/>
        <v>259</v>
      </c>
      <c r="P16" s="527"/>
      <c r="Q16" s="527"/>
    </row>
    <row r="17" spans="1:41" s="14" customFormat="1" ht="15.75" customHeight="1" x14ac:dyDescent="0.2">
      <c r="A17" s="167" t="s">
        <v>69</v>
      </c>
      <c r="B17" s="408">
        <v>125</v>
      </c>
      <c r="C17" s="504">
        <f t="shared" si="4"/>
        <v>24</v>
      </c>
      <c r="D17" s="195">
        <v>8</v>
      </c>
      <c r="E17" s="488"/>
      <c r="F17" s="162">
        <v>12</v>
      </c>
      <c r="G17" s="162">
        <v>27</v>
      </c>
      <c r="H17" s="162">
        <v>10</v>
      </c>
      <c r="I17" s="162">
        <v>2</v>
      </c>
      <c r="J17" s="188">
        <f>(D17*D5)+(E17*E5)+(F17*F5)+(G17*G5)+(H17*H5)+(I17*I5)</f>
        <v>1078967.48</v>
      </c>
      <c r="K17" s="191">
        <f t="shared" si="5"/>
        <v>24</v>
      </c>
      <c r="M17" s="513">
        <v>93</v>
      </c>
      <c r="N17" s="513">
        <v>32</v>
      </c>
      <c r="O17" s="513">
        <f t="shared" si="6"/>
        <v>125</v>
      </c>
      <c r="P17" s="527"/>
      <c r="Q17" s="527"/>
    </row>
    <row r="18" spans="1:41" s="14" customFormat="1" ht="15.75" customHeight="1" x14ac:dyDescent="0.2">
      <c r="A18" s="166" t="s">
        <v>70</v>
      </c>
      <c r="B18" s="193">
        <v>195</v>
      </c>
      <c r="C18" s="504">
        <f t="shared" si="4"/>
        <v>0</v>
      </c>
      <c r="D18" s="194"/>
      <c r="E18" s="489"/>
      <c r="F18" s="484"/>
      <c r="G18" s="161">
        <v>1</v>
      </c>
      <c r="H18" s="484"/>
      <c r="I18" s="484"/>
      <c r="J18" s="188">
        <f>(D18*D5)+(E18*E5)+(F18*F5)+(G18*G5)+(H18*H5)+(I18*I5)</f>
        <v>5063.88</v>
      </c>
      <c r="K18" s="191">
        <f t="shared" si="5"/>
        <v>0</v>
      </c>
      <c r="M18" s="513">
        <v>144</v>
      </c>
      <c r="N18" s="513">
        <v>51</v>
      </c>
      <c r="O18" s="513">
        <f t="shared" si="6"/>
        <v>195</v>
      </c>
      <c r="P18" s="527"/>
      <c r="Q18" s="527"/>
    </row>
    <row r="19" spans="1:41" s="18" customFormat="1" ht="12.75" x14ac:dyDescent="0.2">
      <c r="A19" s="166" t="s">
        <v>71</v>
      </c>
      <c r="B19" s="193">
        <v>336</v>
      </c>
      <c r="C19" s="504">
        <f t="shared" si="4"/>
        <v>3</v>
      </c>
      <c r="D19" s="194">
        <v>1</v>
      </c>
      <c r="E19" s="487"/>
      <c r="F19" s="161">
        <v>1</v>
      </c>
      <c r="G19" s="163">
        <v>6</v>
      </c>
      <c r="H19" s="161">
        <v>2</v>
      </c>
      <c r="I19" s="484"/>
      <c r="J19" s="188">
        <f>(D19*D5)+(E19*E5)+(F19*F5)+(G19*G5)+(H19*H5)+(I19*I5)</f>
        <v>127139.49</v>
      </c>
      <c r="K19" s="191">
        <f t="shared" si="5"/>
        <v>3</v>
      </c>
      <c r="M19" s="514">
        <v>252</v>
      </c>
      <c r="N19" s="514">
        <v>84</v>
      </c>
      <c r="O19" s="513">
        <f t="shared" si="6"/>
        <v>336</v>
      </c>
      <c r="P19" s="502"/>
      <c r="Q19" s="502"/>
    </row>
    <row r="20" spans="1:41" s="18" customFormat="1" ht="12.75" x14ac:dyDescent="0.2">
      <c r="A20" s="168" t="s">
        <v>72</v>
      </c>
      <c r="B20" s="409">
        <f>SUM(B13:B19)</f>
        <v>1635</v>
      </c>
      <c r="C20" s="505">
        <f>SUM(C13:C19)</f>
        <v>28</v>
      </c>
      <c r="D20" s="164">
        <f t="shared" ref="D20:F20" si="7">SUM(D13:D19)</f>
        <v>10</v>
      </c>
      <c r="E20" s="164">
        <f t="shared" si="7"/>
        <v>0</v>
      </c>
      <c r="F20" s="164">
        <f t="shared" si="7"/>
        <v>13</v>
      </c>
      <c r="G20" s="164">
        <f>SUM(G13:G19)</f>
        <v>37</v>
      </c>
      <c r="H20" s="164">
        <f t="shared" ref="H20:I20" si="8">SUM(H13:H19)</f>
        <v>13</v>
      </c>
      <c r="I20" s="164">
        <f t="shared" si="8"/>
        <v>2</v>
      </c>
      <c r="J20" s="189">
        <f>SUM(J13:J19)</f>
        <v>1248366.2399999998</v>
      </c>
      <c r="K20" s="191">
        <f>F20+H20+I20</f>
        <v>28</v>
      </c>
      <c r="M20" s="515">
        <f>SUM(M13:M19)</f>
        <v>1220</v>
      </c>
      <c r="N20" s="515">
        <f>SUM(N13:N19)</f>
        <v>415</v>
      </c>
      <c r="O20" s="515">
        <f>SUM(O13:O19)</f>
        <v>1635</v>
      </c>
      <c r="P20" s="502"/>
      <c r="Q20" s="502"/>
    </row>
    <row r="21" spans="1:41" s="18" customFormat="1" ht="12.75" x14ac:dyDescent="0.2">
      <c r="A21" s="168" t="s">
        <v>75</v>
      </c>
      <c r="B21" s="410">
        <f>B20-B22</f>
        <v>1607</v>
      </c>
      <c r="C21" s="492"/>
      <c r="D21" s="197">
        <f>D20*4521.32</f>
        <v>45213.2</v>
      </c>
      <c r="E21" s="197"/>
      <c r="F21" s="197">
        <f>F20*57270.03</f>
        <v>744510.39</v>
      </c>
      <c r="G21" s="197">
        <f>G20*5063.88</f>
        <v>187363.56</v>
      </c>
      <c r="H21" s="197">
        <f>H20*17482.43</f>
        <v>227271.59</v>
      </c>
      <c r="I21" s="197">
        <f>I20*22003.75</f>
        <v>44007.5</v>
      </c>
      <c r="J21" s="190">
        <f>SUM(D21:I21)</f>
        <v>1248366.24</v>
      </c>
      <c r="K21" s="192"/>
      <c r="M21" s="525"/>
      <c r="N21" s="525"/>
      <c r="O21" s="516"/>
      <c r="P21" s="502"/>
      <c r="Q21" s="502"/>
    </row>
    <row r="22" spans="1:41" s="18" customFormat="1" ht="12.75" x14ac:dyDescent="0.2">
      <c r="A22" s="168" t="s">
        <v>181</v>
      </c>
      <c r="B22" s="409">
        <v>28</v>
      </c>
      <c r="C22" s="490"/>
      <c r="D22" s="164">
        <v>10</v>
      </c>
      <c r="E22" s="491"/>
      <c r="F22" s="164">
        <v>13</v>
      </c>
      <c r="G22" s="164">
        <v>37</v>
      </c>
      <c r="H22" s="507">
        <v>13</v>
      </c>
      <c r="I22" s="507">
        <v>2</v>
      </c>
      <c r="J22" s="508"/>
      <c r="M22" s="1"/>
      <c r="N22" s="1"/>
      <c r="O22" s="25"/>
      <c r="P22" s="502"/>
      <c r="Q22" s="502"/>
    </row>
    <row r="23" spans="1:41" s="3" customFormat="1" x14ac:dyDescent="0.25">
      <c r="A23" s="20" t="s">
        <v>73</v>
      </c>
      <c r="B23" s="21" t="s">
        <v>189</v>
      </c>
      <c r="C23" s="493"/>
      <c r="D23" s="494"/>
      <c r="E23" s="495"/>
      <c r="F23" s="495"/>
      <c r="G23" s="495"/>
      <c r="H23" s="509" t="s">
        <v>188</v>
      </c>
      <c r="I23" s="510"/>
      <c r="J23" s="511">
        <f>G22*5063.88</f>
        <v>187363.56</v>
      </c>
      <c r="K23" s="18"/>
      <c r="M23" s="4"/>
      <c r="N23" s="4"/>
      <c r="O23" s="4"/>
      <c r="P23" s="521"/>
      <c r="Q23" s="521"/>
    </row>
    <row r="24" spans="1:41" x14ac:dyDescent="0.25">
      <c r="A24" s="160"/>
      <c r="B24" s="497"/>
      <c r="C24" s="497"/>
      <c r="D24" s="494"/>
      <c r="E24" s="495"/>
      <c r="F24" s="495"/>
      <c r="G24" s="495"/>
      <c r="H24" s="509" t="s">
        <v>118</v>
      </c>
      <c r="I24" s="510"/>
      <c r="J24" s="511">
        <f>D21+F21+H21+I21</f>
        <v>1061002.68</v>
      </c>
      <c r="K24" s="192">
        <v>37</v>
      </c>
      <c r="N24" s="526"/>
      <c r="O24" s="526"/>
      <c r="P24" s="528"/>
      <c r="Q24" s="528"/>
      <c r="R24"/>
      <c r="AD24"/>
      <c r="AE24"/>
      <c r="AF24"/>
      <c r="AG24"/>
      <c r="AH24"/>
      <c r="AI24"/>
      <c r="AJ24"/>
      <c r="AK24"/>
      <c r="AO24"/>
    </row>
    <row r="25" spans="1:41" ht="20.25" customHeight="1" x14ac:dyDescent="0.25">
      <c r="B25" s="520" t="s">
        <v>185</v>
      </c>
      <c r="C25" s="498"/>
      <c r="D25" s="411">
        <v>22977210</v>
      </c>
      <c r="E25" s="499"/>
      <c r="F25" s="500"/>
      <c r="G25" s="500"/>
      <c r="H25" s="506"/>
      <c r="I25" s="199"/>
      <c r="J25" s="506"/>
      <c r="K25"/>
      <c r="N25" s="526"/>
      <c r="O25" s="526"/>
      <c r="P25" s="528"/>
      <c r="Q25" s="528"/>
      <c r="R25"/>
      <c r="AD25"/>
      <c r="AE25"/>
      <c r="AF25"/>
      <c r="AG25"/>
      <c r="AH25"/>
      <c r="AI25"/>
      <c r="AJ25"/>
      <c r="AK25"/>
      <c r="AO25"/>
    </row>
    <row r="26" spans="1:41" ht="20.25" customHeight="1" x14ac:dyDescent="0.25">
      <c r="B26" s="517" t="s">
        <v>121</v>
      </c>
      <c r="C26" s="517"/>
      <c r="D26" s="411">
        <v>1061002.68</v>
      </c>
      <c r="E26" s="499"/>
      <c r="F26" s="500"/>
      <c r="G26" s="500"/>
      <c r="H26" s="500"/>
      <c r="I26" s="496"/>
      <c r="J26" s="495"/>
      <c r="K26"/>
      <c r="N26" s="526"/>
      <c r="O26" s="526"/>
      <c r="P26" s="528"/>
      <c r="Q26" s="528"/>
      <c r="R26"/>
      <c r="AD26"/>
      <c r="AE26"/>
      <c r="AF26"/>
      <c r="AG26"/>
      <c r="AH26"/>
      <c r="AI26"/>
      <c r="AJ26"/>
      <c r="AK26"/>
      <c r="AO26"/>
    </row>
    <row r="27" spans="1:41" ht="20.25" customHeight="1" x14ac:dyDescent="0.25">
      <c r="B27" s="517" t="s">
        <v>91</v>
      </c>
      <c r="C27" s="517"/>
      <c r="D27" s="411">
        <v>187363.56</v>
      </c>
      <c r="E27" s="499"/>
      <c r="F27" s="500"/>
      <c r="G27" s="500"/>
      <c r="H27" s="500"/>
      <c r="I27" s="496"/>
      <c r="J27" s="495"/>
      <c r="K27"/>
      <c r="N27" s="526"/>
      <c r="O27" s="526"/>
      <c r="P27" s="528"/>
      <c r="Q27" s="528"/>
      <c r="R27"/>
      <c r="AD27"/>
      <c r="AE27"/>
      <c r="AF27"/>
      <c r="AG27"/>
      <c r="AH27"/>
      <c r="AI27"/>
      <c r="AJ27"/>
      <c r="AK27"/>
      <c r="AO27"/>
    </row>
    <row r="28" spans="1:41" ht="20.25" customHeight="1" x14ac:dyDescent="0.25">
      <c r="B28" s="517" t="s">
        <v>122</v>
      </c>
      <c r="C28" s="498"/>
      <c r="D28" s="411">
        <f>D25-(D26+D27)</f>
        <v>21728843.760000002</v>
      </c>
      <c r="E28" s="591">
        <f>21728843.76/1607</f>
        <v>13521.371350342253</v>
      </c>
      <c r="F28" s="500"/>
      <c r="G28" s="501"/>
      <c r="H28" s="500"/>
      <c r="I28" s="496"/>
      <c r="J28" s="495"/>
      <c r="K28"/>
      <c r="N28" s="526"/>
      <c r="O28" s="526"/>
      <c r="P28" s="528"/>
      <c r="Q28" s="528"/>
      <c r="R28"/>
      <c r="AD28"/>
      <c r="AE28"/>
      <c r="AF28"/>
      <c r="AG28"/>
      <c r="AH28"/>
      <c r="AI28"/>
      <c r="AJ28"/>
      <c r="AK28"/>
      <c r="AO28"/>
    </row>
    <row r="29" spans="1:41" ht="12.75" customHeight="1" x14ac:dyDescent="0.25">
      <c r="B29" s="592"/>
      <c r="C29" s="592"/>
      <c r="D29" s="593" t="s">
        <v>123</v>
      </c>
      <c r="E29" s="593" t="s">
        <v>124</v>
      </c>
      <c r="F29" s="592"/>
      <c r="G29" s="593" t="s">
        <v>123</v>
      </c>
      <c r="H29" s="593"/>
      <c r="I29" s="496"/>
      <c r="J29" s="495"/>
      <c r="K29"/>
      <c r="N29" s="526"/>
      <c r="O29" s="526"/>
      <c r="P29" s="528"/>
      <c r="Q29" s="528"/>
      <c r="R29"/>
      <c r="AD29"/>
      <c r="AE29"/>
      <c r="AF29"/>
      <c r="AG29"/>
      <c r="AH29"/>
      <c r="AI29"/>
      <c r="AJ29"/>
      <c r="AK29"/>
      <c r="AO29"/>
    </row>
    <row r="30" spans="1:41" ht="20.25" customHeight="1" x14ac:dyDescent="0.25">
      <c r="A30" s="412" t="s">
        <v>184</v>
      </c>
      <c r="B30" s="518" t="s">
        <v>164</v>
      </c>
      <c r="C30" s="519">
        <v>1</v>
      </c>
      <c r="D30" s="594">
        <v>13521.37</v>
      </c>
      <c r="E30" s="594">
        <f>D30/12</f>
        <v>1126.7808333333335</v>
      </c>
      <c r="F30" s="594">
        <f>1126.78*12</f>
        <v>13521.36</v>
      </c>
      <c r="G30" s="594">
        <f>F30-D30</f>
        <v>-1.0000000000218279E-2</v>
      </c>
      <c r="H30" s="594"/>
      <c r="I30" s="496"/>
      <c r="J30" s="495"/>
      <c r="K30"/>
      <c r="N30" s="526"/>
      <c r="O30" s="526"/>
      <c r="P30" s="528"/>
      <c r="Q30" s="528"/>
      <c r="R30"/>
      <c r="AD30"/>
      <c r="AE30"/>
      <c r="AF30"/>
      <c r="AG30"/>
      <c r="AH30"/>
      <c r="AI30"/>
      <c r="AJ30"/>
      <c r="AK30"/>
      <c r="AO30"/>
    </row>
    <row r="31" spans="1:41" ht="20.25" customHeight="1" x14ac:dyDescent="0.25">
      <c r="B31" s="518"/>
      <c r="C31" s="519">
        <v>0.75</v>
      </c>
      <c r="D31" s="594">
        <v>10141.030000000001</v>
      </c>
      <c r="E31" s="594">
        <f>D31/12</f>
        <v>845.08583333333343</v>
      </c>
      <c r="F31" s="594">
        <f>845.09*12</f>
        <v>10141.08</v>
      </c>
      <c r="G31" s="594">
        <f>F31-D31</f>
        <v>4.9999999999272404E-2</v>
      </c>
      <c r="H31" s="594"/>
      <c r="I31" s="495"/>
      <c r="J31" s="495"/>
      <c r="K31"/>
      <c r="N31" s="526"/>
      <c r="O31" s="526"/>
      <c r="P31" s="528"/>
      <c r="Q31" s="528"/>
      <c r="R31"/>
      <c r="AD31"/>
      <c r="AE31"/>
      <c r="AF31"/>
      <c r="AG31"/>
      <c r="AH31"/>
      <c r="AI31"/>
      <c r="AJ31"/>
      <c r="AK31"/>
      <c r="AO31"/>
    </row>
    <row r="32" spans="1:41" ht="20.25" customHeight="1" x14ac:dyDescent="0.25">
      <c r="B32" s="518"/>
      <c r="C32" s="519">
        <v>0.4</v>
      </c>
      <c r="D32" s="594">
        <v>5408.55</v>
      </c>
      <c r="E32" s="594">
        <f>D32/12</f>
        <v>450.71250000000003</v>
      </c>
      <c r="F32" s="594">
        <f>450.71*12</f>
        <v>5408.5199999999995</v>
      </c>
      <c r="G32" s="594">
        <f t="shared" ref="G31:G32" si="9">F32-D32</f>
        <v>-3.0000000000654836E-2</v>
      </c>
      <c r="H32" s="594"/>
      <c r="I32" s="495"/>
      <c r="J32" s="495"/>
      <c r="K32"/>
      <c r="L32" s="22"/>
      <c r="M32" s="22"/>
      <c r="N32" s="526"/>
      <c r="O32" s="526"/>
      <c r="P32" s="528"/>
      <c r="Q32" s="528"/>
      <c r="R32"/>
      <c r="Y32" s="22"/>
      <c r="Z32" s="22"/>
      <c r="AA32" s="22"/>
      <c r="AB32" s="22"/>
      <c r="AC32" s="22"/>
      <c r="AF32" s="24"/>
      <c r="AG32"/>
      <c r="AH32"/>
      <c r="AI32"/>
      <c r="AJ32" s="17"/>
      <c r="AK32"/>
      <c r="AO32"/>
    </row>
    <row r="33" spans="2:41" x14ac:dyDescent="0.25">
      <c r="B33" s="21"/>
      <c r="C33" s="21"/>
      <c r="D33" s="595"/>
      <c r="E33" s="595"/>
      <c r="F33" s="596"/>
      <c r="G33" s="597" t="s">
        <v>165</v>
      </c>
      <c r="H33" s="598"/>
      <c r="I33" s="494"/>
      <c r="J33" s="495"/>
      <c r="K33"/>
      <c r="L33" s="22"/>
      <c r="M33" s="22"/>
      <c r="N33" s="526"/>
      <c r="O33" s="526"/>
      <c r="P33" s="528"/>
      <c r="Q33" s="528"/>
      <c r="R33"/>
      <c r="Y33" s="22"/>
      <c r="Z33" s="22"/>
      <c r="AA33" s="22"/>
      <c r="AB33" s="22"/>
      <c r="AC33" s="22"/>
      <c r="AF33" s="24"/>
      <c r="AG33"/>
      <c r="AH33"/>
      <c r="AI33"/>
      <c r="AJ33" s="17"/>
      <c r="AK33"/>
      <c r="AO33"/>
    </row>
    <row r="34" spans="2:41" x14ac:dyDescent="0.25">
      <c r="B34" s="493"/>
      <c r="C34" s="493"/>
      <c r="D34" s="502"/>
      <c r="E34" s="503"/>
      <c r="F34" s="503"/>
      <c r="G34" s="494"/>
      <c r="H34" s="494"/>
      <c r="I34" s="494"/>
      <c r="J34" s="495"/>
      <c r="K34"/>
      <c r="L34" s="22"/>
      <c r="M34" s="22"/>
      <c r="N34" s="526"/>
      <c r="O34" s="526"/>
      <c r="P34" s="528"/>
      <c r="Q34" s="528"/>
      <c r="R34"/>
      <c r="Y34" s="22"/>
      <c r="Z34" s="22"/>
      <c r="AA34" s="22"/>
      <c r="AB34" s="22"/>
      <c r="AC34" s="22"/>
      <c r="AF34" s="24"/>
      <c r="AG34"/>
      <c r="AH34"/>
      <c r="AI34"/>
      <c r="AJ34" s="17"/>
      <c r="AK34"/>
      <c r="AO34"/>
    </row>
    <row r="35" spans="2:41" x14ac:dyDescent="0.25">
      <c r="B35" s="497"/>
      <c r="C35" s="497"/>
      <c r="D35" s="503"/>
      <c r="E35" s="503"/>
      <c r="F35" s="503"/>
      <c r="G35" s="494"/>
      <c r="H35" s="494"/>
      <c r="I35" s="494"/>
      <c r="J35" s="495"/>
      <c r="K35"/>
      <c r="L35" s="22"/>
      <c r="M35" s="22"/>
      <c r="N35" s="526"/>
      <c r="O35" s="526"/>
      <c r="P35" s="528"/>
      <c r="Q35" s="528"/>
      <c r="R35"/>
      <c r="Y35" s="22"/>
      <c r="Z35" s="22"/>
      <c r="AA35" s="22"/>
      <c r="AB35" s="22"/>
      <c r="AC35" s="22"/>
      <c r="AF35" s="24"/>
      <c r="AG35"/>
      <c r="AH35"/>
      <c r="AI35"/>
      <c r="AJ35" s="17"/>
      <c r="AK35"/>
      <c r="AO35"/>
    </row>
    <row r="36" spans="2:41" x14ac:dyDescent="0.25">
      <c r="B36" s="497"/>
      <c r="C36" s="497"/>
      <c r="D36" s="503"/>
      <c r="E36" s="503"/>
      <c r="F36" s="503"/>
      <c r="G36" s="494"/>
      <c r="H36" s="494"/>
      <c r="I36" s="494"/>
      <c r="J36" s="495"/>
      <c r="K36"/>
      <c r="L36" s="22"/>
      <c r="M36" s="22"/>
      <c r="N36" s="526"/>
      <c r="O36" s="526"/>
      <c r="P36" s="528"/>
      <c r="Q36" s="528"/>
      <c r="R36"/>
      <c r="Y36" s="22"/>
      <c r="Z36" s="22"/>
      <c r="AA36" s="22"/>
      <c r="AB36" s="22"/>
      <c r="AC36" s="22"/>
      <c r="AF36" s="24"/>
      <c r="AG36"/>
      <c r="AH36"/>
      <c r="AI36"/>
      <c r="AJ36" s="17"/>
      <c r="AK36"/>
      <c r="AO36"/>
    </row>
    <row r="37" spans="2:41" x14ac:dyDescent="0.25">
      <c r="K37"/>
      <c r="L37" s="23"/>
      <c r="M37" s="22"/>
      <c r="O37" s="526"/>
      <c r="P37" s="528"/>
      <c r="Q37" s="528"/>
      <c r="R37"/>
      <c r="Z37" s="22"/>
      <c r="AA37" s="22"/>
      <c r="AB37" s="22"/>
      <c r="AC37" s="22"/>
      <c r="AG37" s="24"/>
      <c r="AH37"/>
      <c r="AI37"/>
      <c r="AJ37"/>
      <c r="AK37" s="17"/>
      <c r="AO37"/>
    </row>
    <row r="38" spans="2:41" x14ac:dyDescent="0.25">
      <c r="L38" s="23"/>
      <c r="M38" s="22"/>
      <c r="O38" s="526"/>
      <c r="P38" s="528"/>
      <c r="Q38" s="528"/>
      <c r="R38"/>
      <c r="Z38" s="22"/>
      <c r="AA38" s="22"/>
      <c r="AB38" s="22"/>
      <c r="AC38" s="22"/>
      <c r="AG38" s="24"/>
      <c r="AH38"/>
      <c r="AI38"/>
      <c r="AJ38"/>
      <c r="AK38" s="17"/>
      <c r="AO38"/>
    </row>
    <row r="39" spans="2:41" x14ac:dyDescent="0.25">
      <c r="L39" s="23"/>
      <c r="M39" s="22"/>
      <c r="O39" s="526"/>
      <c r="P39" s="528"/>
      <c r="Q39" s="528"/>
      <c r="R39"/>
      <c r="Z39" s="22"/>
      <c r="AA39" s="22"/>
      <c r="AB39" s="22"/>
      <c r="AC39" s="22"/>
      <c r="AG39" s="24"/>
      <c r="AH39"/>
      <c r="AI39"/>
      <c r="AJ39"/>
      <c r="AK39" s="17"/>
      <c r="AO39"/>
    </row>
  </sheetData>
  <phoneticPr fontId="2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Header>&amp;CPKD po I-szej aktualizacji na 2021 w oparciu o: metryczkę subwencji oświat na 2021 i SIO 30.09.2020</oddHeader>
    <oddFooter>&amp;L&amp;D
Urszula Dobrowolska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PKD na 2021 p-la</vt:lpstr>
      <vt:lpstr>PlanWydatki na 28.02.2021</vt:lpstr>
      <vt:lpstr>PanWydatki na 21.10.2020</vt:lpstr>
      <vt:lpstr>1-wariant niepełnospr</vt:lpstr>
      <vt:lpstr>Niepelnosprawność</vt:lpstr>
      <vt:lpstr>I-aktualizacja PKD na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PKD</dc:title>
  <dc:creator>Urszula Dobrowolska</dc:creator>
  <cp:keywords>Prive</cp:keywords>
  <cp:lastModifiedBy>Urszula  Dobrowolska</cp:lastModifiedBy>
  <cp:lastPrinted>2021-03-19T10:21:17Z</cp:lastPrinted>
  <dcterms:created xsi:type="dcterms:W3CDTF">2018-02-09T10:41:33Z</dcterms:created>
  <dcterms:modified xsi:type="dcterms:W3CDTF">2021-03-19T10:31:56Z</dcterms:modified>
</cp:coreProperties>
</file>